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'Лист1'!$11:$14</definedName>
    <definedName name="_xlnm.Print_Titles" localSheetId="1">'Лист2'!$3:$6</definedName>
  </definedNames>
  <calcPr fullCalcOnLoad="1"/>
</workbook>
</file>

<file path=xl/sharedStrings.xml><?xml version="1.0" encoding="utf-8"?>
<sst xmlns="http://schemas.openxmlformats.org/spreadsheetml/2006/main" count="3439" uniqueCount="482">
  <si>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</si>
  <si>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</si>
  <si>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</si>
  <si>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</si>
  <si>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</si>
  <si>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</si>
  <si>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</si>
  <si>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</si>
  <si>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</si>
  <si>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</si>
  <si>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</si>
  <si>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</si>
  <si>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</si>
  <si>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</si>
  <si>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</si>
  <si>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</si>
  <si>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</si>
  <si>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</si>
  <si>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</si>
  <si>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</si>
  <si>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</si>
  <si>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</si>
  <si>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</si>
  <si>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</si>
  <si>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</si>
  <si>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</si>
  <si>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</si>
  <si>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</si>
  <si>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</si>
  <si>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</si>
  <si>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</si>
  <si>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</si>
  <si>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</si>
  <si>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</si>
  <si>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</si>
  <si>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</si>
  <si>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</si>
  <si>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</si>
  <si>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</si>
  <si>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</si>
  <si>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</si>
  <si>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</si>
  <si>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</si>
  <si>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</si>
  <si>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</si>
  <si>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</si>
  <si>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</si>
  <si>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</si>
  <si>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</si>
  <si>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010</t>
  </si>
  <si>
    <t>из них:</t>
  </si>
  <si>
    <t>Код дохода по бюджетной классификацией</t>
  </si>
  <si>
    <t>по бюджетной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</si>
  <si>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</si>
  <si>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</si>
  <si>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</si>
  <si>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</si>
  <si>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</si>
  <si>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</si>
  <si>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</si>
  <si>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</si>
  <si>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</si>
  <si>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</si>
  <si>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</si>
  <si>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</si>
  <si>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</si>
  <si>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</si>
  <si>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</si>
  <si>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</si>
  <si>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</si>
  <si>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</si>
  <si>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</si>
  <si>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10102021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</si>
  <si>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</si>
  <si>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</si>
  <si>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</si>
  <si>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</si>
  <si>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</si>
  <si>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</si>
  <si>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</si>
  <si>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</si>
  <si>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</si>
  <si>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</si>
  <si>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</si>
  <si>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</si>
  <si>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</si>
  <si>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</si>
  <si>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</si>
  <si>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</si>
  <si>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</si>
  <si>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</si>
  <si>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</si>
  <si>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</si>
  <si>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</si>
  <si>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</si>
  <si>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</si>
  <si>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</si>
  <si>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</si>
  <si>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</si>
  <si>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</si>
  <si>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</si>
  <si>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</si>
  <si>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</si>
  <si>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</si>
  <si>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</si>
  <si>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</si>
  <si>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</si>
  <si>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</si>
  <si>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</si>
  <si>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</si>
  <si>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</si>
  <si>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</si>
  <si>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</si>
  <si>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</si>
  <si>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</si>
  <si>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</si>
  <si>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</si>
  <si>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</si>
  <si>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</si>
  <si>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</si>
  <si>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</si>
  <si>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</si>
  <si>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</si>
  <si>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</si>
  <si>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</si>
  <si>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</si>
  <si>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</si>
  <si>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</si>
  <si>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</si>
  <si>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</si>
  <si>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</si>
  <si>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</si>
  <si>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</si>
  <si>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</si>
  <si>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</si>
  <si>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</si>
  <si>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Единый 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</si>
  <si>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</si>
  <si>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</si>
  <si>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</si>
  <si>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</si>
  <si>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</si>
  <si>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</si>
  <si>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</si>
  <si>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</si>
  <si>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</si>
  <si>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</si>
  <si>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</si>
  <si>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пп1 п1 ст.394 НК РФ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</si>
  <si>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</si>
  <si>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</si>
  <si>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</si>
  <si>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</si>
  <si>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</si>
  <si>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</si>
  <si>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</si>
  <si>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</si>
  <si>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</si>
  <si>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</si>
  <si>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 xml:space="preserve">Прочие поступления от использования имущества, находящегося в собственности поселений (за
исключением имущества муниципальных автономных учреждений, а также имущества муниципальных унитарных предприятий, в том числе казенных)
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</si>
  <si>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</si>
  <si>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</si>
  <si>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</si>
  <si>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</si>
  <si>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</si>
  <si>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иного имущества, находящегося в муниципальной собственности (в части реализации основных средств по указанному имуществу)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</si>
  <si>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</si>
  <si>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</si>
  <si>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</si>
  <si>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</si>
  <si>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</si>
  <si>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</si>
  <si>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</si>
  <si>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Дотации бюджетам поселений на выравнивание бюджетной обеспеченности</t>
  </si>
  <si>
    <t xml:space="preserve"> Средства, получаемые на компенсацию дополнительных расходов, возникающих в результате решений, принятых органами власти другого уровня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</si>
  <si>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</si>
  <si>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</si>
  <si>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</si>
  <si>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</si>
  <si>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</si>
  <si>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</si>
  <si>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</si>
  <si>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</si>
  <si>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</si>
  <si>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</si>
  <si>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</si>
  <si>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</si>
  <si>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</si>
  <si>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</si>
  <si>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0801</t>
  </si>
  <si>
    <t>1003</t>
  </si>
  <si>
    <t>1101</t>
  </si>
  <si>
    <t>1202</t>
  </si>
  <si>
    <t>1301</t>
  </si>
  <si>
    <t>0021200</t>
  </si>
  <si>
    <t>9000000</t>
  </si>
  <si>
    <t>0700500</t>
  </si>
  <si>
    <t>0920304</t>
  </si>
  <si>
    <t>7950900</t>
  </si>
  <si>
    <t>7957500</t>
  </si>
  <si>
    <t>0013600</t>
  </si>
  <si>
    <t>2180100</t>
  </si>
  <si>
    <t>3400300</t>
  </si>
  <si>
    <t>7959000</t>
  </si>
  <si>
    <t>3510500</t>
  </si>
  <si>
    <t>5201559</t>
  </si>
  <si>
    <t>5220300</t>
  </si>
  <si>
    <t>7951006</t>
  </si>
  <si>
    <t>7956200</t>
  </si>
  <si>
    <t>7957600</t>
  </si>
  <si>
    <t>7954500</t>
  </si>
  <si>
    <t>6000521</t>
  </si>
  <si>
    <t>0650300</t>
  </si>
  <si>
    <t>013</t>
  </si>
  <si>
    <t>006</t>
  </si>
  <si>
    <t>001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</si>
  <si>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</si>
  <si>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</si>
  <si>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</si>
  <si>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</si>
  <si>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</si>
  <si>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</si>
  <si>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</si>
  <si>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</si>
  <si>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</si>
  <si>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</si>
  <si>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</si>
  <si>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</si>
  <si>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</si>
  <si>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</si>
  <si>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</si>
  <si>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</si>
  <si>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</si>
  <si>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</si>
  <si>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</si>
  <si>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</si>
  <si>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</si>
  <si>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</si>
  <si>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</si>
  <si>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</si>
  <si>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</si>
  <si>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</si>
  <si>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</si>
  <si>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</si>
  <si>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</si>
  <si>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</si>
  <si>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</si>
  <si>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</si>
  <si>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</si>
  <si>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</si>
  <si>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</si>
  <si>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</si>
  <si>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</si>
  <si>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</si>
  <si>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</si>
  <si>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</si>
  <si>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</si>
  <si>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</si>
  <si>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</si>
  <si>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</si>
  <si>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</si>
  <si>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</si>
  <si>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</si>
  <si>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</si>
  <si>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</si>
  <si>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</si>
  <si>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</si>
  <si>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</si>
  <si>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</si>
  <si>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Кадровая политика муниципального образования "Городское поселение "Город Ермолино" на 2011-2014 г.г."</t>
  </si>
  <si>
    <t>Программа "Укрепление МТБ органов местного самоуправления в 2011-2014 гг."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</si>
  <si>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</si>
  <si>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</si>
  <si>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</si>
  <si>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</si>
  <si>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</si>
  <si>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</si>
  <si>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</si>
  <si>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</si>
  <si>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</si>
  <si>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</si>
  <si>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Мероприятия в области коммунального хозяйства</t>
  </si>
  <si>
    <t>Безвозмездные и безвозвратные перечисления государственным и муниципальным организациям</t>
  </si>
  <si>
    <t>Подготовка объектов жилищно-коммунального хозяйства и социальной сферы к работе в осенне-зимний период 2011/12 года</t>
  </si>
  <si>
    <t>Капитальный ремонт сетей водопровода муниципальных форм собственности в рамках реализации  ДЦП "Чистая вода в Калужской области " на 2011-2017 годы"</t>
  </si>
  <si>
    <t>Программа "Комплексного развития систем коммунальной инфраструктуры МО ГП "Город Ермолино" на 2011-2013 гг."</t>
  </si>
  <si>
    <t>Программа "Повышение энергетической эффективности предприятия МУП "ЕТС" в 2010-2012 гг."</t>
  </si>
  <si>
    <t>Программа "Повышение эффективности предприятия МУП "ЕТС" по водоснабжению в 2010-2012 гг."</t>
  </si>
  <si>
    <t>Благоустройство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</si>
  <si>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</si>
  <si>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</si>
  <si>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</si>
  <si>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</t>
  </si>
  <si>
    <t>Выполнение функций бюджетными учреждениями</t>
  </si>
  <si>
    <t>Социальное обеспечение населения</t>
  </si>
  <si>
    <t>Социальные выплаты</t>
  </si>
  <si>
    <t>Физическая культура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</si>
  <si>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</si>
  <si>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</si>
  <si>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</si>
  <si>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</si>
  <si>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</si>
  <si>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</si>
  <si>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</si>
  <si>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</si>
  <si>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</si>
  <si>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</si>
  <si>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</si>
  <si>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</si>
  <si>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</si>
  <si>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</si>
  <si>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</si>
  <si>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Изменение остатков средств на счетах по уучету средств бюджета</t>
  </si>
  <si>
    <t>Изменение прочих остатков денежных средств бюджета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</si>
  <si>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</si>
  <si>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</si>
  <si>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</si>
  <si>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</si>
  <si>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</si>
  <si>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</si>
  <si>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</si>
  <si>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</si>
  <si>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</si>
  <si>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</si>
  <si>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</si>
  <si>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</si>
  <si>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</si>
  <si>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</si>
  <si>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</si>
  <si>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</si>
  <si>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</si>
  <si>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</si>
  <si>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</si>
  <si>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</si>
  <si>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</si>
  <si>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</si>
  <si>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</si>
  <si>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</si>
  <si>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</si>
  <si>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</si>
  <si>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</si>
  <si>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8360</t>
  </si>
  <si>
    <t>21900000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</si>
  <si>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</si>
  <si>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Возврат остатков субвенций прошлых лет</t>
  </si>
  <si>
    <t>ВОЗВРАТ ОСТАТКОВ</t>
  </si>
  <si>
    <t>012</t>
  </si>
  <si>
    <t>7951007</t>
  </si>
  <si>
    <t>7954400</t>
  </si>
  <si>
    <t>7951008</t>
  </si>
  <si>
    <t>8074000</t>
  </si>
  <si>
    <t>8074013</t>
  </si>
  <si>
    <t>8084200</t>
  </si>
  <si>
    <t>540</t>
  </si>
  <si>
    <t>7951005</t>
  </si>
  <si>
    <t>068</t>
  </si>
  <si>
    <t>7951045</t>
  </si>
  <si>
    <t>8098200</t>
  </si>
  <si>
    <t>7950400</t>
  </si>
  <si>
    <t>079</t>
  </si>
  <si>
    <t>8105700</t>
  </si>
  <si>
    <t>8105713</t>
  </si>
  <si>
    <t>Программа "Безопасный город" на 2011-2013 гг.</t>
  </si>
  <si>
    <t>Программа "Внедрение коллективного (общедомового) учета потребления энергоресурсов (тепловой энергии, горячей и холодной воды, электрической энергии, газа) в многоквартирные дома на 2009-2012 г.г."</t>
  </si>
  <si>
    <t>Субсидии юридическим лицам (кроме государственных учреждений), ИП, физическим лицам - производителям товаров, работ, услуг</t>
  </si>
  <si>
    <t>Программа " Проведение капитального ремонта в многоквартирных жилых домах на 2012 г."</t>
  </si>
  <si>
    <t>Программа "Безопасность дорожного движения на территории МО "Городское поселение "Г.Ермолино" на 2012 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</si>
  <si>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</t>
  </si>
  <si>
    <t>Содержание казенных учреждений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</si>
  <si>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2012-2014 г.г." (Платные услуги)</t>
  </si>
  <si>
    <t>Ведомственная целевая программа "развитие библиотечного обслуживания населения г.Ермолино библиотеками МУК ДК "Полет" на 2012-2014 г.г."</t>
  </si>
  <si>
    <t>Льготы по оплате жилищно-коммунальных услуг отдельным категориям граждан, работающих в и проживающих сельской местности</t>
  </si>
  <si>
    <t>Программа "Развитие социальной и культурной инфраструктуры МО "Городское поселение "Г.Ермолино" на 2012-2014 г.г."</t>
  </si>
  <si>
    <t>Целевая программа к "70-летию победы в Великой Отечественной Войне" на 2012-2015 г.г."</t>
  </si>
  <si>
    <t>Ведомственная целевая программа "Развития физической культуры и спорта и укрепление МТБ МУ ФиС стадиона "Труд" на 2012-2014 г.г."</t>
  </si>
  <si>
    <t>Программа "Развития физической культуры и спорта на 2011-2013 г.г."</t>
  </si>
  <si>
    <t>Ведомственная целевая программа " Развитие муниципальных средств массовой информации на 2012-2014 г.г."</t>
  </si>
  <si>
    <t>Ведомственная целевая программа " Развитие муниципальных средств массовой информации на 2012-2014 г.г." (Платные услуги)</t>
  </si>
  <si>
    <t>Физическая культура и спорт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</si>
  <si>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</si>
  <si>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</t>
  </si>
  <si>
    <t>11600000</t>
  </si>
  <si>
    <t>11690000</t>
  </si>
  <si>
    <t>140</t>
  </si>
  <si>
    <t>11690050</t>
  </si>
  <si>
    <t>5478</t>
  </si>
  <si>
    <t>20204999</t>
  </si>
  <si>
    <t>20204000</t>
  </si>
  <si>
    <t>Субсидии от других бюджетов бюджетной системы Российской Федерации</t>
  </si>
  <si>
    <t xml:space="preserve">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
</t>
  </si>
  <si>
    <t>Прочие межбюджетные трансферты</t>
  </si>
  <si>
    <t>0107</t>
  </si>
  <si>
    <t>0200002</t>
  </si>
  <si>
    <t>Прочие работы, услуги</t>
  </si>
  <si>
    <t>Проведение выборов</t>
  </si>
  <si>
    <t>6220153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</si>
  <si>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</si>
  <si>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5201501</t>
  </si>
  <si>
    <t>Подготовка и участие в спартакиаде районной футбольной команды</t>
  </si>
  <si>
    <t>Программы</t>
  </si>
  <si>
    <t>Возврат остатков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</si>
  <si>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</si>
  <si>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</si>
  <si>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</si>
  <si>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</si>
  <si>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</si>
  <si>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 xml:space="preserve">Доходы    от    продажи    земельных    участков, государственная  собственность  на   которые   не разграничена
</t>
  </si>
  <si>
    <t>20202000</t>
  </si>
  <si>
    <t>20202999</t>
  </si>
  <si>
    <t>0278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</si>
  <si>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</si>
  <si>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0409</t>
  </si>
  <si>
    <t>Национальная экономика</t>
  </si>
  <si>
    <t>0400</t>
  </si>
  <si>
    <t>Дорожное хозяйство (дорожные фонды)</t>
  </si>
  <si>
    <t>5204800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</si>
  <si>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</si>
  <si>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0600</t>
  </si>
  <si>
    <t>0603</t>
  </si>
  <si>
    <t>7951021</t>
  </si>
  <si>
    <t>Охрана окружающей среды</t>
  </si>
  <si>
    <t>Охрана объектов растительного и животного мира и среды их обитания</t>
  </si>
  <si>
    <t>Программа "Экология и охрана окружающей среды"</t>
  </si>
  <si>
    <t>Прочие мероприятия по благоустройству городских округов и поселений</t>
  </si>
  <si>
    <t>6000500</t>
  </si>
  <si>
    <t>Программа "Благоустройство территории Боровского района Калужской области на 2008-2010 гг."</t>
  </si>
  <si>
    <t>7953100</t>
  </si>
  <si>
    <t>0707</t>
  </si>
  <si>
    <t>Молодежная политика и оздоровление детей</t>
  </si>
  <si>
    <t>начальник финансово- экономического отдела</t>
  </si>
  <si>
    <t>Заместитель главы администрации -   __________________        Гусаковская Н.А.</t>
  </si>
  <si>
    <t>0273</t>
  </si>
  <si>
    <t>Иные межбюджетные трансферты на капитальный ремонт сетей водопровода муниципальных форм собюственности в рамках реализации ДЦП "Чистая вода в Калужской области" на 2011-2017 г.г."</t>
  </si>
  <si>
    <t>21805030</t>
  </si>
  <si>
    <t>Доходы бюджетов поселений от возврата иными организациями остатков субсидий прошлых лет</t>
  </si>
  <si>
    <t>21800000</t>
  </si>
  <si>
    <t>21805000</t>
  </si>
  <si>
    <t>Доходы бюджетов бюджетной системы Российской Федерации от возвратов организациями остатков субсидий прошлых лет</t>
  </si>
  <si>
    <t>Доходы бюджетов поселений от возврата организациями остатков субсидий прошлых лет</t>
  </si>
  <si>
    <t>5220301</t>
  </si>
  <si>
    <t>Реализация программы по капитальному ремонту сетей водопровода муниципальных форм собственности в рамках реализации  ДЦП "Чистая вода в Калужской области " на 2011-2017 годы"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</si>
  <si>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</si>
  <si>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</si>
  <si>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</si>
  <si>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</si>
  <si>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5204810</t>
  </si>
  <si>
    <t>11406025</t>
  </si>
  <si>
    <t>Доходы    от    продажи    земельных    участков, находящихся в собственности поселений</t>
  </si>
  <si>
    <t>Доходы    от    продажи    земельных    участков, находящихся в собственности поселений (за исключением земельных участков муниципальных бюджетных и автономных учреждений)</t>
  </si>
  <si>
    <t>0465</t>
  </si>
  <si>
    <t>Доходы от компенсации затрат государства</t>
  </si>
  <si>
    <t xml:space="preserve">Доходы от оказания платных услуг (работ) 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</si>
  <si>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</si>
  <si>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</si>
  <si>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</si>
  <si>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</si>
  <si>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040</t>
  </si>
  <si>
    <t>11406020</t>
  </si>
  <si>
    <t>8130400</t>
  </si>
  <si>
    <t>8130800</t>
  </si>
  <si>
    <t>Программа "Капитальный ремонт и ремонт дворовых территорий МКД, проездов к дворовым территориям МКД МО "ГП "Г.Ермолино" на 2013-2015 г.г."</t>
  </si>
  <si>
    <t>7951048</t>
  </si>
  <si>
    <t>7954501</t>
  </si>
  <si>
    <t>7954503</t>
  </si>
  <si>
    <t>7954504</t>
  </si>
  <si>
    <t>7954505</t>
  </si>
  <si>
    <t>Программа "Благоустройство территории МО "Городское поселение "Г.Ермолино" на 2012-2014 гг." (уличное освещение)</t>
  </si>
  <si>
    <t xml:space="preserve">Программа "Благоустройство территории МО "Городское поселение "Г.Ермолино" на 2012-2014 гг." </t>
  </si>
  <si>
    <t>Программа "Благоустройство территории МО "Городское поселение "Г.Ермолино" на 2012-2014 гг." (содержание мест захоронения)</t>
  </si>
  <si>
    <t>Программа "Благоустройство территории МО "Городское поселение "Г.Ермолино" на 2012-2014 гг." (озеленение)</t>
  </si>
  <si>
    <t>Программа "Благоустройство территории МО "Городское поселение "Г.Ермолино" на 2012-2014 гг." (прочее благоустройство)</t>
  </si>
  <si>
    <t>8074200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</si>
  <si>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</si>
  <si>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</si>
  <si>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>7954502</t>
  </si>
  <si>
    <t>Программа "Благоустройство территории МО "Городское поселение "Г.Ермолино" на 2012-2014 гг." (ремонт и содержание дорог)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</si>
  <si>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</si>
  <si>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5227938</t>
  </si>
  <si>
    <t xml:space="preserve">                                                на  1 апреля 2013 г.</t>
  </si>
  <si>
    <t>01.04.2013</t>
  </si>
  <si>
    <t xml:space="preserve"> Вр.И.О. главы администрации МО   __________________            Гуров Е.А.</t>
  </si>
  <si>
    <t xml:space="preserve">  "Городское поселение"Г.Ермолино"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</si>
</sst>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9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6" fillId="0" borderId="24" xfId="0" applyNumberFormat="1" applyFont="1" applyBorder="1" applyAlignment="1">
      <alignment horizontal="right" vertical="top"/>
    </xf>
    <xf numFmtId="4" fontId="6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19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4" fillId="0" borderId="25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34" xfId="0" applyFont="1" applyFill="1" applyBorder="1" applyAlignment="1">
      <alignment horizontal="left" wrapText="1"/>
    </xf>
    <xf numFmtId="4" fontId="4" fillId="0" borderId="35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right" vertical="top"/>
    </xf>
    <xf numFmtId="4" fontId="4" fillId="0" borderId="38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4" fillId="0" borderId="19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22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8" fillId="0" borderId="39" xfId="0" applyFont="1" applyBorder="1" applyAlignment="1">
      <alignment/>
    </xf>
    <xf numFmtId="0" fontId="4" fillId="33" borderId="1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wrapText="1"/>
    </xf>
    <xf numFmtId="49" fontId="4" fillId="33" borderId="27" xfId="0" applyNumberFormat="1" applyFont="1" applyFill="1" applyBorder="1" applyAlignment="1">
      <alignment horizontal="center" vertical="top" wrapText="1"/>
    </xf>
    <xf numFmtId="49" fontId="4" fillId="33" borderId="28" xfId="0" applyNumberFormat="1" applyFont="1" applyFill="1" applyBorder="1" applyAlignment="1">
      <alignment horizontal="center" vertical="top" wrapText="1"/>
    </xf>
    <xf numFmtId="49" fontId="4" fillId="33" borderId="29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right" vertical="top"/>
    </xf>
    <xf numFmtId="4" fontId="4" fillId="33" borderId="26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4" fontId="4" fillId="33" borderId="25" xfId="0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SheetLayoutView="100" zoomScalePageLayoutView="0" workbookViewId="0" topLeftCell="A1">
      <selection activeCell="I120" sqref="I120"/>
    </sheetView>
  </sheetViews>
  <sheetFormatPr defaultColWidth="9.00390625" defaultRowHeight="12.75"/>
  <cols>
    <col min="1" max="1" width="40.1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1" customWidth="1"/>
    <col min="10" max="10" width="13.375" style="90" customWidth="1"/>
    <col min="11" max="11" width="13.875" style="0" customWidth="1"/>
  </cols>
  <sheetData>
    <row r="1" spans="1:11" ht="17.25" customHeight="1" thickBot="1">
      <c r="A1" s="29" t="s">
        <v>40</v>
      </c>
      <c r="B1" s="29"/>
      <c r="C1" s="29"/>
      <c r="D1" s="12"/>
      <c r="E1" s="12"/>
      <c r="F1" s="12"/>
      <c r="G1" s="12"/>
      <c r="H1" s="12"/>
      <c r="I1" s="12"/>
      <c r="J1" s="99"/>
      <c r="K1" s="26" t="s">
        <v>5</v>
      </c>
    </row>
    <row r="2" spans="3:11" ht="13.5" customHeight="1">
      <c r="C2" s="11"/>
      <c r="J2" s="100" t="s">
        <v>54</v>
      </c>
      <c r="K2" s="37" t="s">
        <v>31</v>
      </c>
    </row>
    <row r="3" spans="1:11" ht="12.75" customHeight="1">
      <c r="A3" s="62" t="s">
        <v>478</v>
      </c>
      <c r="B3" s="13"/>
      <c r="C3" s="13"/>
      <c r="D3" s="13"/>
      <c r="E3" s="13"/>
      <c r="F3" s="13"/>
      <c r="G3" s="13"/>
      <c r="H3" s="13"/>
      <c r="I3" s="13"/>
      <c r="J3" s="101" t="s">
        <v>35</v>
      </c>
      <c r="K3" s="19" t="s">
        <v>479</v>
      </c>
    </row>
    <row r="4" spans="1:11" ht="15.75" customHeight="1">
      <c r="A4" s="11"/>
      <c r="B4" s="11"/>
      <c r="C4" s="11"/>
      <c r="D4" s="11"/>
      <c r="E4" s="11"/>
      <c r="F4" s="11"/>
      <c r="G4" s="11"/>
      <c r="H4" s="11"/>
      <c r="I4" s="10"/>
      <c r="J4" s="102"/>
      <c r="K4" s="57"/>
    </row>
    <row r="5" spans="1:11" ht="13.5" customHeight="1">
      <c r="A5" s="11" t="s">
        <v>442</v>
      </c>
      <c r="B5" s="11"/>
      <c r="C5" s="109" t="s">
        <v>314</v>
      </c>
      <c r="D5" s="109"/>
      <c r="E5" s="109"/>
      <c r="F5" s="109"/>
      <c r="G5" s="109"/>
      <c r="H5" s="109"/>
      <c r="I5" s="109"/>
      <c r="J5" s="110"/>
      <c r="K5" s="20"/>
    </row>
    <row r="6" spans="1:11" ht="15.75" customHeight="1">
      <c r="A6" s="11"/>
      <c r="B6" s="11"/>
      <c r="C6" s="127" t="s">
        <v>315</v>
      </c>
      <c r="D6" s="127"/>
      <c r="E6" s="127"/>
      <c r="F6" s="127"/>
      <c r="G6" s="127"/>
      <c r="H6" s="127"/>
      <c r="I6" s="127"/>
      <c r="J6" s="103" t="s">
        <v>316</v>
      </c>
      <c r="K6" s="19"/>
    </row>
    <row r="7" spans="1:11" ht="13.5" customHeight="1">
      <c r="A7" s="11" t="s">
        <v>443</v>
      </c>
      <c r="B7" s="11"/>
      <c r="C7" s="11"/>
      <c r="D7" s="11"/>
      <c r="E7" s="11"/>
      <c r="F7" s="127" t="s">
        <v>317</v>
      </c>
      <c r="G7" s="127"/>
      <c r="H7" s="127"/>
      <c r="I7" s="127"/>
      <c r="J7" s="103" t="s">
        <v>34</v>
      </c>
      <c r="K7" s="19" t="s">
        <v>318</v>
      </c>
    </row>
    <row r="8" spans="1:11" ht="13.5" customHeight="1">
      <c r="A8" s="42" t="s">
        <v>55</v>
      </c>
      <c r="B8" s="42"/>
      <c r="C8" s="11"/>
      <c r="D8" s="11"/>
      <c r="E8" s="11"/>
      <c r="F8" s="11"/>
      <c r="G8" s="11"/>
      <c r="H8" s="11"/>
      <c r="I8" s="10"/>
      <c r="J8" s="103"/>
      <c r="K8" s="35"/>
    </row>
    <row r="9" spans="1:11" ht="13.5" customHeight="1" thickBot="1">
      <c r="A9" s="11" t="s">
        <v>1</v>
      </c>
      <c r="B9" s="11"/>
      <c r="C9" s="11"/>
      <c r="D9" s="11"/>
      <c r="E9" s="11"/>
      <c r="F9" s="11"/>
      <c r="G9" s="11"/>
      <c r="H9" s="11"/>
      <c r="I9" s="10"/>
      <c r="J9" s="102" t="s">
        <v>53</v>
      </c>
      <c r="K9" s="21" t="s">
        <v>0</v>
      </c>
    </row>
    <row r="10" spans="3:11" ht="21" customHeight="1">
      <c r="C10" s="28"/>
      <c r="D10" s="28" t="s">
        <v>44</v>
      </c>
      <c r="E10" s="28"/>
      <c r="F10" s="28"/>
      <c r="G10" s="28"/>
      <c r="H10" s="28"/>
      <c r="I10" s="10"/>
      <c r="J10" s="103"/>
      <c r="K10" s="23"/>
    </row>
    <row r="11" spans="1:11" ht="13.5" customHeight="1">
      <c r="A11" s="63"/>
      <c r="B11" s="64"/>
      <c r="C11" s="58" t="s">
        <v>12</v>
      </c>
      <c r="D11" s="128" t="s">
        <v>51</v>
      </c>
      <c r="E11" s="129"/>
      <c r="F11" s="129"/>
      <c r="G11" s="129"/>
      <c r="H11" s="130"/>
      <c r="I11" s="65" t="s">
        <v>46</v>
      </c>
      <c r="J11" s="104"/>
      <c r="K11" s="58" t="s">
        <v>32</v>
      </c>
    </row>
    <row r="12" spans="1:11" ht="9.75" customHeight="1">
      <c r="A12" s="25" t="s">
        <v>6</v>
      </c>
      <c r="B12" s="8"/>
      <c r="C12" s="8" t="s">
        <v>13</v>
      </c>
      <c r="D12" s="131"/>
      <c r="E12" s="132"/>
      <c r="F12" s="132"/>
      <c r="G12" s="132"/>
      <c r="H12" s="133"/>
      <c r="I12" s="6" t="s">
        <v>47</v>
      </c>
      <c r="J12" s="105" t="s">
        <v>36</v>
      </c>
      <c r="K12" s="6" t="s">
        <v>4</v>
      </c>
    </row>
    <row r="13" spans="1:11" ht="9.75" customHeight="1">
      <c r="A13" s="66"/>
      <c r="B13" s="67"/>
      <c r="C13" s="59" t="s">
        <v>14</v>
      </c>
      <c r="D13" s="134"/>
      <c r="E13" s="135"/>
      <c r="F13" s="135"/>
      <c r="G13" s="135"/>
      <c r="H13" s="136"/>
      <c r="I13" s="68" t="s">
        <v>4</v>
      </c>
      <c r="J13" s="106"/>
      <c r="K13" s="68"/>
    </row>
    <row r="14" spans="1:11" ht="9.75" customHeight="1" thickBot="1">
      <c r="A14" s="4">
        <v>1</v>
      </c>
      <c r="B14" s="43"/>
      <c r="C14" s="9">
        <v>2</v>
      </c>
      <c r="D14" s="121">
        <v>3</v>
      </c>
      <c r="E14" s="122"/>
      <c r="F14" s="122"/>
      <c r="G14" s="122"/>
      <c r="H14" s="123"/>
      <c r="I14" s="5" t="s">
        <v>2</v>
      </c>
      <c r="J14" s="107" t="s">
        <v>38</v>
      </c>
      <c r="K14" s="18" t="s">
        <v>39</v>
      </c>
    </row>
    <row r="15" spans="1:11" ht="12.75">
      <c r="A15" s="47" t="s">
        <v>43</v>
      </c>
      <c r="B15" s="32"/>
      <c r="C15" s="48" t="s">
        <v>49</v>
      </c>
      <c r="D15" s="124"/>
      <c r="E15" s="125"/>
      <c r="F15" s="125"/>
      <c r="G15" s="125"/>
      <c r="H15" s="126"/>
      <c r="I15" s="44">
        <f>I17+I119</f>
        <v>67424372.43</v>
      </c>
      <c r="J15" s="81">
        <f>J17+J119</f>
        <v>25218434.88</v>
      </c>
      <c r="K15" s="46">
        <f aca="true" t="shared" si="0" ref="K15:K127">IF(ISNUMBER(I15),I15,0)-IF(ISNUMBER(J15),J15,0)</f>
        <v>42205937.55000001</v>
      </c>
    </row>
    <row r="16" spans="1:11" ht="12.75">
      <c r="A16" s="49" t="s">
        <v>7</v>
      </c>
      <c r="B16" s="32">
        <v>1</v>
      </c>
      <c r="C16" s="51"/>
      <c r="D16" s="52"/>
      <c r="E16" s="53"/>
      <c r="F16" s="53"/>
      <c r="G16" s="53"/>
      <c r="H16" s="50"/>
      <c r="I16" s="60"/>
      <c r="J16" s="108"/>
      <c r="K16" s="46"/>
    </row>
    <row r="17" spans="1:11" ht="13.5" customHeight="1">
      <c r="A17" s="49" t="s">
        <v>129</v>
      </c>
      <c r="B17" s="32">
        <v>1</v>
      </c>
      <c r="C17" s="51"/>
      <c r="D17" s="52" t="s">
        <v>63</v>
      </c>
      <c r="E17" s="53" t="s">
        <v>67</v>
      </c>
      <c r="F17" s="53" t="s">
        <v>117</v>
      </c>
      <c r="G17" s="53" t="s">
        <v>121</v>
      </c>
      <c r="H17" s="50" t="s">
        <v>63</v>
      </c>
      <c r="I17" s="44">
        <f>I18+I37+I65+I82+I87+I96+I101+I114+I111</f>
        <v>37531160</v>
      </c>
      <c r="J17" s="81">
        <f>J18+J37+J65+J82+J87+J96+J101+J114+J111</f>
        <v>5323647.449999999</v>
      </c>
      <c r="K17" s="46">
        <f t="shared" si="0"/>
        <v>32207512.55</v>
      </c>
    </row>
    <row r="18" spans="1:11" s="83" customFormat="1" ht="11.25" customHeight="1">
      <c r="A18" s="75" t="s">
        <v>130</v>
      </c>
      <c r="B18" s="76">
        <v>1</v>
      </c>
      <c r="C18" s="77"/>
      <c r="D18" s="78" t="s">
        <v>64</v>
      </c>
      <c r="E18" s="79" t="s">
        <v>68</v>
      </c>
      <c r="F18" s="79" t="s">
        <v>117</v>
      </c>
      <c r="G18" s="79" t="s">
        <v>121</v>
      </c>
      <c r="H18" s="80" t="s">
        <v>63</v>
      </c>
      <c r="I18" s="81">
        <f>I19</f>
        <v>6880000</v>
      </c>
      <c r="J18" s="81">
        <f>J19</f>
        <v>1569553.29</v>
      </c>
      <c r="K18" s="82">
        <f t="shared" si="0"/>
        <v>5310446.71</v>
      </c>
    </row>
    <row r="19" spans="1:11" s="83" customFormat="1" ht="12" customHeight="1">
      <c r="A19" s="98" t="s">
        <v>131</v>
      </c>
      <c r="B19" s="76">
        <v>1</v>
      </c>
      <c r="C19" s="77"/>
      <c r="D19" s="78" t="s">
        <v>64</v>
      </c>
      <c r="E19" s="79" t="s">
        <v>69</v>
      </c>
      <c r="F19" s="79" t="s">
        <v>117</v>
      </c>
      <c r="G19" s="79" t="s">
        <v>121</v>
      </c>
      <c r="H19" s="80" t="s">
        <v>122</v>
      </c>
      <c r="I19" s="81">
        <f>I25+I20+I31</f>
        <v>6880000</v>
      </c>
      <c r="J19" s="81">
        <f>J25+J20+J31</f>
        <v>1569553.29</v>
      </c>
      <c r="K19" s="82">
        <f t="shared" si="0"/>
        <v>5310446.71</v>
      </c>
    </row>
    <row r="20" spans="1:11" s="83" customFormat="1" ht="55.5" customHeight="1">
      <c r="A20" s="98" t="s">
        <v>319</v>
      </c>
      <c r="B20" s="76">
        <v>1</v>
      </c>
      <c r="C20" s="77"/>
      <c r="D20" s="78" t="s">
        <v>64</v>
      </c>
      <c r="E20" s="79" t="s">
        <v>70</v>
      </c>
      <c r="F20" s="79" t="s">
        <v>118</v>
      </c>
      <c r="G20" s="79" t="s">
        <v>121</v>
      </c>
      <c r="H20" s="80" t="s">
        <v>122</v>
      </c>
      <c r="I20" s="81">
        <f>6800000</f>
        <v>6800000</v>
      </c>
      <c r="J20" s="84">
        <f>J21+J23+J24+J22</f>
        <v>1564438.32</v>
      </c>
      <c r="K20" s="82">
        <f t="shared" si="0"/>
        <v>5235561.68</v>
      </c>
    </row>
    <row r="21" spans="1:11" s="83" customFormat="1" ht="56.25" customHeight="1">
      <c r="A21" s="98" t="s">
        <v>319</v>
      </c>
      <c r="B21" s="76">
        <v>1</v>
      </c>
      <c r="C21" s="77"/>
      <c r="D21" s="78" t="s">
        <v>64</v>
      </c>
      <c r="E21" s="79" t="s">
        <v>70</v>
      </c>
      <c r="F21" s="79" t="s">
        <v>118</v>
      </c>
      <c r="G21" s="79" t="s">
        <v>320</v>
      </c>
      <c r="H21" s="80" t="s">
        <v>122</v>
      </c>
      <c r="I21" s="81">
        <v>0</v>
      </c>
      <c r="J21" s="84">
        <v>1570183.95</v>
      </c>
      <c r="K21" s="82">
        <f>IF(ISNUMBER(I21),I21,0)-IF(ISNUMBER(J21),J21,0)</f>
        <v>-1570183.95</v>
      </c>
    </row>
    <row r="22" spans="1:11" s="83" customFormat="1" ht="56.25" customHeight="1">
      <c r="A22" s="98" t="s">
        <v>319</v>
      </c>
      <c r="B22" s="76"/>
      <c r="C22" s="77"/>
      <c r="D22" s="78" t="s">
        <v>64</v>
      </c>
      <c r="E22" s="79" t="s">
        <v>70</v>
      </c>
      <c r="F22" s="79" t="s">
        <v>118</v>
      </c>
      <c r="G22" s="79" t="s">
        <v>326</v>
      </c>
      <c r="H22" s="80" t="s">
        <v>122</v>
      </c>
      <c r="I22" s="81">
        <v>0</v>
      </c>
      <c r="J22" s="84">
        <v>8</v>
      </c>
      <c r="K22" s="82">
        <f>IF(ISNUMBER(I22),I22,0)-IF(ISNUMBER(J22),J22,0)</f>
        <v>-8</v>
      </c>
    </row>
    <row r="23" spans="1:11" s="83" customFormat="1" ht="55.5" customHeight="1">
      <c r="A23" s="98" t="s">
        <v>319</v>
      </c>
      <c r="B23" s="76">
        <v>1</v>
      </c>
      <c r="C23" s="77"/>
      <c r="D23" s="78" t="s">
        <v>64</v>
      </c>
      <c r="E23" s="79" t="s">
        <v>70</v>
      </c>
      <c r="F23" s="79" t="s">
        <v>118</v>
      </c>
      <c r="G23" s="79" t="s">
        <v>321</v>
      </c>
      <c r="H23" s="80" t="s">
        <v>122</v>
      </c>
      <c r="I23" s="81">
        <v>0</v>
      </c>
      <c r="J23" s="84">
        <v>100</v>
      </c>
      <c r="K23" s="82">
        <f>IF(ISNUMBER(I23),I23,0)-IF(ISNUMBER(J23),J23,0)</f>
        <v>-100</v>
      </c>
    </row>
    <row r="24" spans="1:11" s="83" customFormat="1" ht="56.25" customHeight="1">
      <c r="A24" s="98" t="s">
        <v>319</v>
      </c>
      <c r="B24" s="76">
        <v>1</v>
      </c>
      <c r="C24" s="77"/>
      <c r="D24" s="78" t="s">
        <v>64</v>
      </c>
      <c r="E24" s="79" t="s">
        <v>70</v>
      </c>
      <c r="F24" s="79" t="s">
        <v>118</v>
      </c>
      <c r="G24" s="79" t="s">
        <v>322</v>
      </c>
      <c r="H24" s="80" t="s">
        <v>122</v>
      </c>
      <c r="I24" s="81">
        <v>0</v>
      </c>
      <c r="J24" s="84">
        <v>-5853.63</v>
      </c>
      <c r="K24" s="82">
        <f>IF(ISNUMBER(I24),I24,0)-IF(ISNUMBER(J24),J24,0)</f>
        <v>5853.63</v>
      </c>
    </row>
    <row r="25" spans="1:11" s="83" customFormat="1" ht="66.75" customHeight="1">
      <c r="A25" s="98" t="s">
        <v>323</v>
      </c>
      <c r="B25" s="76">
        <v>1</v>
      </c>
      <c r="C25" s="77"/>
      <c r="D25" s="78" t="s">
        <v>64</v>
      </c>
      <c r="E25" s="79" t="s">
        <v>71</v>
      </c>
      <c r="F25" s="79" t="s">
        <v>118</v>
      </c>
      <c r="G25" s="79" t="s">
        <v>121</v>
      </c>
      <c r="H25" s="80" t="s">
        <v>122</v>
      </c>
      <c r="I25" s="81">
        <f>40000</f>
        <v>40000</v>
      </c>
      <c r="J25" s="84">
        <f>J26+J27+J28</f>
        <v>3949.27</v>
      </c>
      <c r="K25" s="82">
        <f t="shared" si="0"/>
        <v>36050.73</v>
      </c>
    </row>
    <row r="26" spans="1:11" s="83" customFormat="1" ht="67.5" customHeight="1">
      <c r="A26" s="98" t="s">
        <v>323</v>
      </c>
      <c r="B26" s="76">
        <v>1</v>
      </c>
      <c r="C26" s="77"/>
      <c r="D26" s="78" t="s">
        <v>64</v>
      </c>
      <c r="E26" s="79" t="s">
        <v>71</v>
      </c>
      <c r="F26" s="79" t="s">
        <v>118</v>
      </c>
      <c r="G26" s="79" t="s">
        <v>320</v>
      </c>
      <c r="H26" s="80" t="s">
        <v>122</v>
      </c>
      <c r="I26" s="81">
        <v>0</v>
      </c>
      <c r="J26" s="84">
        <v>3444.53</v>
      </c>
      <c r="K26" s="82">
        <f>IF(ISNUMBER(I26),I26,0)-IF(ISNUMBER(J26),J26,0)</f>
        <v>-3444.53</v>
      </c>
    </row>
    <row r="27" spans="1:11" s="83" customFormat="1" ht="66.75" customHeight="1">
      <c r="A27" s="98" t="s">
        <v>323</v>
      </c>
      <c r="B27" s="76">
        <v>1</v>
      </c>
      <c r="C27" s="77"/>
      <c r="D27" s="78" t="s">
        <v>64</v>
      </c>
      <c r="E27" s="79" t="s">
        <v>71</v>
      </c>
      <c r="F27" s="79" t="s">
        <v>118</v>
      </c>
      <c r="G27" s="79" t="s">
        <v>326</v>
      </c>
      <c r="H27" s="80" t="s">
        <v>122</v>
      </c>
      <c r="I27" s="81">
        <v>0</v>
      </c>
      <c r="J27" s="84">
        <v>4.74</v>
      </c>
      <c r="K27" s="82">
        <f>IF(ISNUMBER(I27),I27,0)-IF(ISNUMBER(J27),J27,0)</f>
        <v>-4.74</v>
      </c>
    </row>
    <row r="28" spans="1:11" s="83" customFormat="1" ht="135.75" customHeight="1">
      <c r="A28" s="98" t="s">
        <v>323</v>
      </c>
      <c r="B28" s="76">
        <v>1</v>
      </c>
      <c r="C28" s="77"/>
      <c r="D28" s="78" t="s">
        <v>64</v>
      </c>
      <c r="E28" s="79" t="s">
        <v>71</v>
      </c>
      <c r="F28" s="79" t="s">
        <v>118</v>
      </c>
      <c r="G28" s="79" t="s">
        <v>321</v>
      </c>
      <c r="H28" s="80" t="s">
        <v>122</v>
      </c>
      <c r="I28" s="81">
        <v>0</v>
      </c>
      <c r="J28" s="84">
        <v>500</v>
      </c>
      <c r="K28" s="82">
        <f>IF(ISNUMBER(I28),I28,0)-IF(ISNUMBER(J28),J28,0)</f>
        <v>-500</v>
      </c>
    </row>
    <row r="29" spans="1:11" s="83" customFormat="1" ht="90" hidden="1">
      <c r="A29" s="98" t="s">
        <v>132</v>
      </c>
      <c r="B29" s="76">
        <v>1</v>
      </c>
      <c r="C29" s="77"/>
      <c r="D29" s="78" t="s">
        <v>64</v>
      </c>
      <c r="E29" s="79" t="s">
        <v>72</v>
      </c>
      <c r="F29" s="79" t="s">
        <v>118</v>
      </c>
      <c r="G29" s="79" t="s">
        <v>121</v>
      </c>
      <c r="H29" s="80" t="s">
        <v>122</v>
      </c>
      <c r="I29" s="81"/>
      <c r="J29" s="84"/>
      <c r="K29" s="82">
        <f t="shared" si="0"/>
        <v>0</v>
      </c>
    </row>
    <row r="30" spans="1:11" s="83" customFormat="1" ht="90" hidden="1">
      <c r="A30" s="98" t="s">
        <v>133</v>
      </c>
      <c r="B30" s="76">
        <v>1</v>
      </c>
      <c r="C30" s="77"/>
      <c r="D30" s="78" t="s">
        <v>64</v>
      </c>
      <c r="E30" s="79" t="s">
        <v>73</v>
      </c>
      <c r="F30" s="79" t="s">
        <v>118</v>
      </c>
      <c r="G30" s="79" t="s">
        <v>121</v>
      </c>
      <c r="H30" s="80" t="s">
        <v>122</v>
      </c>
      <c r="I30" s="81"/>
      <c r="J30" s="84"/>
      <c r="K30" s="82">
        <f t="shared" si="0"/>
        <v>0</v>
      </c>
    </row>
    <row r="31" spans="1:11" s="83" customFormat="1" ht="33" customHeight="1">
      <c r="A31" s="98" t="s">
        <v>324</v>
      </c>
      <c r="B31" s="76">
        <v>1</v>
      </c>
      <c r="C31" s="77"/>
      <c r="D31" s="78" t="s">
        <v>64</v>
      </c>
      <c r="E31" s="79" t="s">
        <v>74</v>
      </c>
      <c r="F31" s="79" t="s">
        <v>118</v>
      </c>
      <c r="G31" s="79" t="s">
        <v>121</v>
      </c>
      <c r="H31" s="80" t="s">
        <v>122</v>
      </c>
      <c r="I31" s="81">
        <f>40000</f>
        <v>40000</v>
      </c>
      <c r="J31" s="84">
        <f>J32+J34+J33+J36</f>
        <v>1165.7</v>
      </c>
      <c r="K31" s="82">
        <f>IF(ISNUMBER(I31),I31,0)-IF(ISNUMBER(J31),J31,0)</f>
        <v>38834.3</v>
      </c>
    </row>
    <row r="32" spans="1:11" s="83" customFormat="1" ht="34.5" customHeight="1">
      <c r="A32" s="98" t="s">
        <v>324</v>
      </c>
      <c r="B32" s="76">
        <v>1</v>
      </c>
      <c r="C32" s="77"/>
      <c r="D32" s="78" t="s">
        <v>64</v>
      </c>
      <c r="E32" s="79" t="s">
        <v>74</v>
      </c>
      <c r="F32" s="79" t="s">
        <v>118</v>
      </c>
      <c r="G32" s="79" t="s">
        <v>320</v>
      </c>
      <c r="H32" s="80" t="s">
        <v>122</v>
      </c>
      <c r="I32" s="81">
        <v>0</v>
      </c>
      <c r="J32" s="84">
        <v>965.7</v>
      </c>
      <c r="K32" s="82">
        <f>IF(ISNUMBER(I32),I32,0)-IF(ISNUMBER(J32),J32,0)</f>
        <v>-965.7</v>
      </c>
    </row>
    <row r="33" spans="1:11" s="83" customFormat="1" ht="32.25" customHeight="1" hidden="1">
      <c r="A33" s="98" t="s">
        <v>324</v>
      </c>
      <c r="B33" s="76">
        <v>1</v>
      </c>
      <c r="C33" s="77"/>
      <c r="D33" s="78" t="s">
        <v>64</v>
      </c>
      <c r="E33" s="79" t="s">
        <v>74</v>
      </c>
      <c r="F33" s="79" t="s">
        <v>118</v>
      </c>
      <c r="G33" s="79" t="s">
        <v>326</v>
      </c>
      <c r="H33" s="80" t="s">
        <v>122</v>
      </c>
      <c r="I33" s="81">
        <v>0</v>
      </c>
      <c r="J33" s="84">
        <v>0</v>
      </c>
      <c r="K33" s="82">
        <f>IF(ISNUMBER(I33),I33,0)-IF(ISNUMBER(J33),J33,0)</f>
        <v>0</v>
      </c>
    </row>
    <row r="34" spans="1:11" s="83" customFormat="1" ht="32.25" customHeight="1" hidden="1">
      <c r="A34" s="98" t="s">
        <v>324</v>
      </c>
      <c r="B34" s="76">
        <v>1</v>
      </c>
      <c r="C34" s="77"/>
      <c r="D34" s="78" t="s">
        <v>64</v>
      </c>
      <c r="E34" s="79" t="s">
        <v>74</v>
      </c>
      <c r="F34" s="79" t="s">
        <v>118</v>
      </c>
      <c r="G34" s="79" t="s">
        <v>321</v>
      </c>
      <c r="H34" s="80" t="s">
        <v>122</v>
      </c>
      <c r="I34" s="81">
        <v>0</v>
      </c>
      <c r="J34" s="84">
        <v>0</v>
      </c>
      <c r="K34" s="82">
        <f>IF(ISNUMBER(I34),I34,0)-IF(ISNUMBER(J34),J34,0)</f>
        <v>0</v>
      </c>
    </row>
    <row r="35" spans="1:11" s="83" customFormat="1" ht="54" customHeight="1" hidden="1">
      <c r="A35" s="75" t="s">
        <v>134</v>
      </c>
      <c r="B35" s="76">
        <v>1</v>
      </c>
      <c r="C35" s="77"/>
      <c r="D35" s="78" t="s">
        <v>64</v>
      </c>
      <c r="E35" s="79" t="s">
        <v>75</v>
      </c>
      <c r="F35" s="79" t="s">
        <v>118</v>
      </c>
      <c r="G35" s="79" t="s">
        <v>121</v>
      </c>
      <c r="H35" s="80" t="s">
        <v>122</v>
      </c>
      <c r="I35" s="81"/>
      <c r="J35" s="84"/>
      <c r="K35" s="82">
        <f t="shared" si="0"/>
        <v>0</v>
      </c>
    </row>
    <row r="36" spans="1:11" s="83" customFormat="1" ht="54" customHeight="1">
      <c r="A36" s="75"/>
      <c r="B36" s="76"/>
      <c r="C36" s="77"/>
      <c r="D36" s="78" t="s">
        <v>64</v>
      </c>
      <c r="E36" s="79" t="s">
        <v>74</v>
      </c>
      <c r="F36" s="79" t="s">
        <v>118</v>
      </c>
      <c r="G36" s="79" t="s">
        <v>321</v>
      </c>
      <c r="H36" s="80" t="s">
        <v>122</v>
      </c>
      <c r="I36" s="81">
        <v>0</v>
      </c>
      <c r="J36" s="84">
        <v>200</v>
      </c>
      <c r="K36" s="82">
        <f>IF(ISNUMBER(I36),I36,0)-IF(ISNUMBER(J36),J36,0)</f>
        <v>-200</v>
      </c>
    </row>
    <row r="37" spans="1:11" s="83" customFormat="1" ht="12" customHeight="1">
      <c r="A37" s="75" t="s">
        <v>135</v>
      </c>
      <c r="B37" s="76">
        <v>1</v>
      </c>
      <c r="C37" s="77"/>
      <c r="D37" s="78" t="s">
        <v>64</v>
      </c>
      <c r="E37" s="79" t="s">
        <v>76</v>
      </c>
      <c r="F37" s="79" t="s">
        <v>117</v>
      </c>
      <c r="G37" s="79" t="s">
        <v>121</v>
      </c>
      <c r="H37" s="80" t="s">
        <v>63</v>
      </c>
      <c r="I37" s="81">
        <f>I38+I61</f>
        <v>14410000</v>
      </c>
      <c r="J37" s="81">
        <f>J38+J61</f>
        <v>1178570.68</v>
      </c>
      <c r="K37" s="82">
        <f t="shared" si="0"/>
        <v>13231429.32</v>
      </c>
    </row>
    <row r="38" spans="1:11" s="83" customFormat="1" ht="22.5" customHeight="1">
      <c r="A38" s="98" t="s">
        <v>136</v>
      </c>
      <c r="B38" s="76">
        <v>1</v>
      </c>
      <c r="C38" s="77"/>
      <c r="D38" s="78" t="s">
        <v>64</v>
      </c>
      <c r="E38" s="79" t="s">
        <v>77</v>
      </c>
      <c r="F38" s="79" t="s">
        <v>118</v>
      </c>
      <c r="G38" s="79" t="s">
        <v>121</v>
      </c>
      <c r="H38" s="80" t="s">
        <v>122</v>
      </c>
      <c r="I38" s="81">
        <f>I39+I49+I58</f>
        <v>14400000</v>
      </c>
      <c r="J38" s="81">
        <f>J39+J49+J58</f>
        <v>1178570.68</v>
      </c>
      <c r="K38" s="82">
        <f t="shared" si="0"/>
        <v>13221429.32</v>
      </c>
    </row>
    <row r="39" spans="1:11" s="119" customFormat="1" ht="22.5" customHeight="1">
      <c r="A39" s="111" t="s">
        <v>137</v>
      </c>
      <c r="B39" s="112">
        <v>1</v>
      </c>
      <c r="C39" s="113"/>
      <c r="D39" s="114" t="s">
        <v>64</v>
      </c>
      <c r="E39" s="115" t="s">
        <v>78</v>
      </c>
      <c r="F39" s="115" t="s">
        <v>118</v>
      </c>
      <c r="G39" s="115" t="s">
        <v>121</v>
      </c>
      <c r="H39" s="116" t="s">
        <v>122</v>
      </c>
      <c r="I39" s="117">
        <f>I40+I45</f>
        <v>11000000</v>
      </c>
      <c r="J39" s="117">
        <f>J40+J45</f>
        <v>1022029.6799999999</v>
      </c>
      <c r="K39" s="118">
        <f>IF(ISNUMBER(I39),I39,0)-IF(ISNUMBER(J39),J39,0)</f>
        <v>9977970.32</v>
      </c>
    </row>
    <row r="40" spans="1:11" s="83" customFormat="1" ht="22.5" customHeight="1">
      <c r="A40" s="98" t="s">
        <v>137</v>
      </c>
      <c r="B40" s="76">
        <v>1</v>
      </c>
      <c r="C40" s="77"/>
      <c r="D40" s="78" t="s">
        <v>64</v>
      </c>
      <c r="E40" s="79" t="s">
        <v>79</v>
      </c>
      <c r="F40" s="79" t="s">
        <v>118</v>
      </c>
      <c r="G40" s="79" t="s">
        <v>121</v>
      </c>
      <c r="H40" s="80" t="s">
        <v>122</v>
      </c>
      <c r="I40" s="81">
        <f>11000000</f>
        <v>11000000</v>
      </c>
      <c r="J40" s="84">
        <f>J41+J42+J43</f>
        <v>1024400.2</v>
      </c>
      <c r="K40" s="82">
        <f t="shared" si="0"/>
        <v>9975599.8</v>
      </c>
    </row>
    <row r="41" spans="1:11" s="83" customFormat="1" ht="22.5" customHeight="1">
      <c r="A41" s="98" t="s">
        <v>137</v>
      </c>
      <c r="B41" s="76">
        <v>1</v>
      </c>
      <c r="C41" s="77"/>
      <c r="D41" s="78" t="s">
        <v>64</v>
      </c>
      <c r="E41" s="79" t="s">
        <v>79</v>
      </c>
      <c r="F41" s="79" t="s">
        <v>118</v>
      </c>
      <c r="G41" s="79" t="s">
        <v>320</v>
      </c>
      <c r="H41" s="80" t="s">
        <v>122</v>
      </c>
      <c r="I41" s="81">
        <v>0</v>
      </c>
      <c r="J41" s="84">
        <v>1019209.48</v>
      </c>
      <c r="K41" s="82">
        <f>IF(ISNUMBER(I41),I41,0)-IF(ISNUMBER(J41),J41,0)</f>
        <v>-1019209.48</v>
      </c>
    </row>
    <row r="42" spans="1:11" s="83" customFormat="1" ht="21.75" customHeight="1">
      <c r="A42" s="98" t="s">
        <v>137</v>
      </c>
      <c r="B42" s="76">
        <v>1</v>
      </c>
      <c r="C42" s="77"/>
      <c r="D42" s="78" t="s">
        <v>64</v>
      </c>
      <c r="E42" s="79" t="s">
        <v>79</v>
      </c>
      <c r="F42" s="79" t="s">
        <v>118</v>
      </c>
      <c r="G42" s="79" t="s">
        <v>326</v>
      </c>
      <c r="H42" s="80" t="s">
        <v>122</v>
      </c>
      <c r="I42" s="81">
        <v>0</v>
      </c>
      <c r="J42" s="84">
        <v>5190.72</v>
      </c>
      <c r="K42" s="82">
        <f>IF(ISNUMBER(I42),I42,0)-IF(ISNUMBER(J42),J42,0)</f>
        <v>-5190.72</v>
      </c>
    </row>
    <row r="43" spans="1:11" s="83" customFormat="1" ht="22.5" customHeight="1" hidden="1">
      <c r="A43" s="98" t="s">
        <v>137</v>
      </c>
      <c r="B43" s="76">
        <v>1</v>
      </c>
      <c r="C43" s="77"/>
      <c r="D43" s="78" t="s">
        <v>64</v>
      </c>
      <c r="E43" s="79" t="s">
        <v>79</v>
      </c>
      <c r="F43" s="79" t="s">
        <v>118</v>
      </c>
      <c r="G43" s="79" t="s">
        <v>321</v>
      </c>
      <c r="H43" s="80" t="s">
        <v>122</v>
      </c>
      <c r="I43" s="81">
        <v>0</v>
      </c>
      <c r="J43" s="84">
        <v>0</v>
      </c>
      <c r="K43" s="82">
        <f>IF(ISNUMBER(I43),I43,0)-IF(ISNUMBER(J43),J43,0)</f>
        <v>0</v>
      </c>
    </row>
    <row r="44" spans="1:11" s="83" customFormat="1" ht="33.75" hidden="1">
      <c r="A44" s="98" t="s">
        <v>137</v>
      </c>
      <c r="B44" s="76">
        <v>1</v>
      </c>
      <c r="C44" s="77"/>
      <c r="D44" s="78" t="s">
        <v>64</v>
      </c>
      <c r="E44" s="79" t="s">
        <v>79</v>
      </c>
      <c r="F44" s="79" t="s">
        <v>118</v>
      </c>
      <c r="G44" s="79" t="s">
        <v>322</v>
      </c>
      <c r="H44" s="80" t="s">
        <v>122</v>
      </c>
      <c r="I44" s="81">
        <v>0</v>
      </c>
      <c r="J44" s="84"/>
      <c r="K44" s="82">
        <f>IF(ISNUMBER(I44),I44,0)-IF(ISNUMBER(J44),J44,0)</f>
        <v>0</v>
      </c>
    </row>
    <row r="45" spans="1:11" s="83" customFormat="1" ht="33" customHeight="1">
      <c r="A45" s="98" t="s">
        <v>138</v>
      </c>
      <c r="B45" s="76">
        <v>1</v>
      </c>
      <c r="C45" s="77"/>
      <c r="D45" s="78" t="s">
        <v>64</v>
      </c>
      <c r="E45" s="79" t="s">
        <v>80</v>
      </c>
      <c r="F45" s="79" t="s">
        <v>118</v>
      </c>
      <c r="G45" s="79" t="s">
        <v>121</v>
      </c>
      <c r="H45" s="80" t="s">
        <v>122</v>
      </c>
      <c r="I45" s="117">
        <f>0</f>
        <v>0</v>
      </c>
      <c r="J45" s="117">
        <f>J46+J47+J48</f>
        <v>-2370.52</v>
      </c>
      <c r="K45" s="82">
        <f>IF(ISNUMBER(I45),I45,0)-IF(ISNUMBER(J45),J45,0)</f>
        <v>2370.52</v>
      </c>
    </row>
    <row r="46" spans="1:11" s="83" customFormat="1" ht="33.75" customHeight="1">
      <c r="A46" s="98" t="s">
        <v>138</v>
      </c>
      <c r="B46" s="76">
        <v>1</v>
      </c>
      <c r="C46" s="77"/>
      <c r="D46" s="78" t="s">
        <v>64</v>
      </c>
      <c r="E46" s="79" t="s">
        <v>80</v>
      </c>
      <c r="F46" s="79" t="s">
        <v>118</v>
      </c>
      <c r="G46" s="79" t="s">
        <v>320</v>
      </c>
      <c r="H46" s="80" t="s">
        <v>122</v>
      </c>
      <c r="I46" s="81">
        <v>0</v>
      </c>
      <c r="J46" s="84">
        <v>-2975.85</v>
      </c>
      <c r="K46" s="82">
        <f t="shared" si="0"/>
        <v>2975.85</v>
      </c>
    </row>
    <row r="47" spans="1:11" s="83" customFormat="1" ht="34.5" customHeight="1">
      <c r="A47" s="98" t="s">
        <v>138</v>
      </c>
      <c r="B47" s="76">
        <v>1</v>
      </c>
      <c r="C47" s="77"/>
      <c r="D47" s="78" t="s">
        <v>64</v>
      </c>
      <c r="E47" s="79" t="s">
        <v>80</v>
      </c>
      <c r="F47" s="79" t="s">
        <v>118</v>
      </c>
      <c r="G47" s="79" t="s">
        <v>326</v>
      </c>
      <c r="H47" s="80" t="s">
        <v>122</v>
      </c>
      <c r="I47" s="81">
        <v>0</v>
      </c>
      <c r="J47" s="84">
        <v>110.33</v>
      </c>
      <c r="K47" s="82">
        <f>IF(ISNUMBER(I47),I47,0)-IF(ISNUMBER(J47),J47,0)</f>
        <v>-110.33</v>
      </c>
    </row>
    <row r="48" spans="1:11" s="83" customFormat="1" ht="33" customHeight="1">
      <c r="A48" s="98" t="s">
        <v>138</v>
      </c>
      <c r="B48" s="76">
        <v>1</v>
      </c>
      <c r="C48" s="77"/>
      <c r="D48" s="78" t="s">
        <v>64</v>
      </c>
      <c r="E48" s="79" t="s">
        <v>80</v>
      </c>
      <c r="F48" s="79" t="s">
        <v>118</v>
      </c>
      <c r="G48" s="79" t="s">
        <v>321</v>
      </c>
      <c r="H48" s="80" t="s">
        <v>122</v>
      </c>
      <c r="I48" s="81">
        <v>0</v>
      </c>
      <c r="J48" s="84">
        <v>495</v>
      </c>
      <c r="K48" s="82">
        <f>IF(ISNUMBER(I48),I48,0)-IF(ISNUMBER(J48),J48,0)</f>
        <v>-495</v>
      </c>
    </row>
    <row r="49" spans="1:11" s="119" customFormat="1" ht="33.75" customHeight="1">
      <c r="A49" s="111" t="s">
        <v>139</v>
      </c>
      <c r="B49" s="112">
        <v>1</v>
      </c>
      <c r="C49" s="113"/>
      <c r="D49" s="114" t="s">
        <v>64</v>
      </c>
      <c r="E49" s="115" t="s">
        <v>81</v>
      </c>
      <c r="F49" s="115" t="s">
        <v>118</v>
      </c>
      <c r="G49" s="115" t="s">
        <v>121</v>
      </c>
      <c r="H49" s="116" t="s">
        <v>122</v>
      </c>
      <c r="I49" s="117">
        <f>I50+I54+I51</f>
        <v>2900000</v>
      </c>
      <c r="J49" s="117">
        <f>J50+J54</f>
        <v>29697.8</v>
      </c>
      <c r="K49" s="118">
        <f t="shared" si="0"/>
        <v>2870302.2</v>
      </c>
    </row>
    <row r="50" spans="1:11" s="83" customFormat="1" ht="33" customHeight="1">
      <c r="A50" s="98" t="s">
        <v>139</v>
      </c>
      <c r="B50" s="76">
        <v>1</v>
      </c>
      <c r="C50" s="77"/>
      <c r="D50" s="78" t="s">
        <v>64</v>
      </c>
      <c r="E50" s="79" t="s">
        <v>82</v>
      </c>
      <c r="F50" s="79" t="s">
        <v>118</v>
      </c>
      <c r="G50" s="79" t="s">
        <v>121</v>
      </c>
      <c r="H50" s="80" t="s">
        <v>122</v>
      </c>
      <c r="I50" s="81">
        <f>2900000</f>
        <v>2900000</v>
      </c>
      <c r="J50" s="84">
        <f>J51+J52+J53</f>
        <v>29697.8</v>
      </c>
      <c r="K50" s="82">
        <f t="shared" si="0"/>
        <v>2870302.2</v>
      </c>
    </row>
    <row r="51" spans="1:11" s="83" customFormat="1" ht="34.5" customHeight="1">
      <c r="A51" s="98" t="s">
        <v>139</v>
      </c>
      <c r="B51" s="76">
        <v>1</v>
      </c>
      <c r="C51" s="77"/>
      <c r="D51" s="78" t="s">
        <v>64</v>
      </c>
      <c r="E51" s="79" t="s">
        <v>82</v>
      </c>
      <c r="F51" s="79" t="s">
        <v>118</v>
      </c>
      <c r="G51" s="79" t="s">
        <v>320</v>
      </c>
      <c r="H51" s="80" t="s">
        <v>122</v>
      </c>
      <c r="I51" s="81">
        <v>0</v>
      </c>
      <c r="J51" s="84">
        <v>28927.8</v>
      </c>
      <c r="K51" s="82">
        <f>IF(ISNUMBER(I51),I51,0)-IF(ISNUMBER(J51),J51,0)</f>
        <v>-28927.8</v>
      </c>
    </row>
    <row r="52" spans="1:11" s="83" customFormat="1" ht="34.5" customHeight="1">
      <c r="A52" s="98" t="s">
        <v>139</v>
      </c>
      <c r="B52" s="76">
        <v>1</v>
      </c>
      <c r="C52" s="77"/>
      <c r="D52" s="78" t="s">
        <v>64</v>
      </c>
      <c r="E52" s="79" t="s">
        <v>82</v>
      </c>
      <c r="F52" s="79" t="s">
        <v>118</v>
      </c>
      <c r="G52" s="79" t="s">
        <v>326</v>
      </c>
      <c r="H52" s="80" t="s">
        <v>122</v>
      </c>
      <c r="I52" s="81">
        <v>0</v>
      </c>
      <c r="J52" s="84">
        <v>770</v>
      </c>
      <c r="K52" s="82">
        <f>IF(ISNUMBER(I52),I52,0)-IF(ISNUMBER(J52),J52,0)</f>
        <v>-770</v>
      </c>
    </row>
    <row r="53" spans="1:11" s="83" customFormat="1" ht="34.5" customHeight="1" hidden="1">
      <c r="A53" s="98" t="s">
        <v>139</v>
      </c>
      <c r="B53" s="76">
        <v>1</v>
      </c>
      <c r="C53" s="77"/>
      <c r="D53" s="78" t="s">
        <v>64</v>
      </c>
      <c r="E53" s="79" t="s">
        <v>82</v>
      </c>
      <c r="F53" s="79" t="s">
        <v>118</v>
      </c>
      <c r="G53" s="79" t="s">
        <v>321</v>
      </c>
      <c r="H53" s="80" t="s">
        <v>122</v>
      </c>
      <c r="I53" s="81">
        <v>0</v>
      </c>
      <c r="J53" s="84">
        <v>0</v>
      </c>
      <c r="K53" s="82">
        <f>IF(ISNUMBER(I53),I53,0)-IF(ISNUMBER(J53),J53,0)</f>
        <v>0</v>
      </c>
    </row>
    <row r="54" spans="1:11" s="83" customFormat="1" ht="45" customHeight="1" hidden="1">
      <c r="A54" s="98" t="s">
        <v>140</v>
      </c>
      <c r="B54" s="76">
        <v>1</v>
      </c>
      <c r="C54" s="77"/>
      <c r="D54" s="78" t="s">
        <v>64</v>
      </c>
      <c r="E54" s="79" t="s">
        <v>83</v>
      </c>
      <c r="F54" s="79" t="s">
        <v>118</v>
      </c>
      <c r="G54" s="79" t="s">
        <v>121</v>
      </c>
      <c r="H54" s="80" t="s">
        <v>122</v>
      </c>
      <c r="I54" s="84">
        <f>0</f>
        <v>0</v>
      </c>
      <c r="J54" s="84">
        <f>J55+J56+J57</f>
        <v>0</v>
      </c>
      <c r="K54" s="82">
        <f t="shared" si="0"/>
        <v>0</v>
      </c>
    </row>
    <row r="55" spans="1:11" s="83" customFormat="1" ht="45.75" customHeight="1" hidden="1">
      <c r="A55" s="98" t="s">
        <v>140</v>
      </c>
      <c r="B55" s="76">
        <v>1</v>
      </c>
      <c r="C55" s="77"/>
      <c r="D55" s="78" t="s">
        <v>64</v>
      </c>
      <c r="E55" s="79" t="s">
        <v>83</v>
      </c>
      <c r="F55" s="79" t="s">
        <v>118</v>
      </c>
      <c r="G55" s="79" t="s">
        <v>320</v>
      </c>
      <c r="H55" s="80" t="s">
        <v>122</v>
      </c>
      <c r="I55" s="81">
        <v>0</v>
      </c>
      <c r="J55" s="84">
        <v>0</v>
      </c>
      <c r="K55" s="82">
        <f aca="true" t="shared" si="1" ref="K55:K60">IF(ISNUMBER(I55),I55,0)-IF(ISNUMBER(J55),J55,0)</f>
        <v>0</v>
      </c>
    </row>
    <row r="56" spans="1:11" s="83" customFormat="1" ht="45" customHeight="1" hidden="1">
      <c r="A56" s="98" t="s">
        <v>140</v>
      </c>
      <c r="B56" s="76">
        <v>1</v>
      </c>
      <c r="C56" s="77"/>
      <c r="D56" s="78" t="s">
        <v>64</v>
      </c>
      <c r="E56" s="79" t="s">
        <v>83</v>
      </c>
      <c r="F56" s="79" t="s">
        <v>118</v>
      </c>
      <c r="G56" s="79" t="s">
        <v>326</v>
      </c>
      <c r="H56" s="80" t="s">
        <v>122</v>
      </c>
      <c r="I56" s="81">
        <v>0</v>
      </c>
      <c r="J56" s="84">
        <v>0</v>
      </c>
      <c r="K56" s="82">
        <f t="shared" si="1"/>
        <v>0</v>
      </c>
    </row>
    <row r="57" spans="1:11" s="83" customFormat="1" ht="45" customHeight="1" hidden="1">
      <c r="A57" s="98" t="s">
        <v>140</v>
      </c>
      <c r="B57" s="76">
        <v>1</v>
      </c>
      <c r="C57" s="77"/>
      <c r="D57" s="78" t="s">
        <v>64</v>
      </c>
      <c r="E57" s="79" t="s">
        <v>83</v>
      </c>
      <c r="F57" s="79" t="s">
        <v>118</v>
      </c>
      <c r="G57" s="79" t="s">
        <v>321</v>
      </c>
      <c r="H57" s="80" t="s">
        <v>122</v>
      </c>
      <c r="I57" s="81">
        <v>0</v>
      </c>
      <c r="J57" s="84">
        <v>0</v>
      </c>
      <c r="K57" s="82">
        <f t="shared" si="1"/>
        <v>0</v>
      </c>
    </row>
    <row r="58" spans="1:11" s="119" customFormat="1" ht="34.5" customHeight="1">
      <c r="A58" s="111" t="s">
        <v>404</v>
      </c>
      <c r="B58" s="112">
        <v>1</v>
      </c>
      <c r="C58" s="113"/>
      <c r="D58" s="114" t="s">
        <v>64</v>
      </c>
      <c r="E58" s="115" t="s">
        <v>405</v>
      </c>
      <c r="F58" s="115" t="s">
        <v>118</v>
      </c>
      <c r="G58" s="115" t="s">
        <v>121</v>
      </c>
      <c r="H58" s="116" t="s">
        <v>122</v>
      </c>
      <c r="I58" s="120">
        <f>500000</f>
        <v>500000</v>
      </c>
      <c r="J58" s="120">
        <f>J59+J60</f>
        <v>126843.2</v>
      </c>
      <c r="K58" s="118">
        <f t="shared" si="1"/>
        <v>373156.8</v>
      </c>
    </row>
    <row r="59" spans="1:11" s="83" customFormat="1" ht="34.5" customHeight="1">
      <c r="A59" s="98" t="s">
        <v>404</v>
      </c>
      <c r="B59" s="76">
        <v>1</v>
      </c>
      <c r="C59" s="77"/>
      <c r="D59" s="78" t="s">
        <v>64</v>
      </c>
      <c r="E59" s="79" t="s">
        <v>405</v>
      </c>
      <c r="F59" s="79" t="s">
        <v>118</v>
      </c>
      <c r="G59" s="79" t="s">
        <v>320</v>
      </c>
      <c r="H59" s="80" t="s">
        <v>122</v>
      </c>
      <c r="I59" s="81">
        <v>0</v>
      </c>
      <c r="J59" s="84">
        <v>126843.2</v>
      </c>
      <c r="K59" s="82">
        <f t="shared" si="1"/>
        <v>-126843.2</v>
      </c>
    </row>
    <row r="60" spans="1:11" s="83" customFormat="1" ht="33.75" customHeight="1" hidden="1">
      <c r="A60" s="98" t="s">
        <v>404</v>
      </c>
      <c r="B60" s="76">
        <v>1</v>
      </c>
      <c r="C60" s="77"/>
      <c r="D60" s="78" t="s">
        <v>64</v>
      </c>
      <c r="E60" s="79" t="s">
        <v>405</v>
      </c>
      <c r="F60" s="79" t="s">
        <v>118</v>
      </c>
      <c r="G60" s="79" t="s">
        <v>326</v>
      </c>
      <c r="H60" s="80" t="s">
        <v>122</v>
      </c>
      <c r="I60" s="81">
        <v>0</v>
      </c>
      <c r="J60" s="84">
        <v>0</v>
      </c>
      <c r="K60" s="82">
        <f t="shared" si="1"/>
        <v>0</v>
      </c>
    </row>
    <row r="61" spans="1:11" s="83" customFormat="1" ht="10.5" customHeight="1">
      <c r="A61" s="98" t="s">
        <v>141</v>
      </c>
      <c r="B61" s="76">
        <v>1</v>
      </c>
      <c r="C61" s="77"/>
      <c r="D61" s="78" t="s">
        <v>64</v>
      </c>
      <c r="E61" s="79" t="s">
        <v>84</v>
      </c>
      <c r="F61" s="79" t="s">
        <v>118</v>
      </c>
      <c r="G61" s="79" t="s">
        <v>121</v>
      </c>
      <c r="H61" s="80" t="s">
        <v>122</v>
      </c>
      <c r="I61" s="81">
        <f>I62+I63+I64</f>
        <v>10000</v>
      </c>
      <c r="J61" s="81">
        <f>J62</f>
        <v>0</v>
      </c>
      <c r="K61" s="82">
        <f t="shared" si="0"/>
        <v>10000</v>
      </c>
    </row>
    <row r="62" spans="1:11" s="83" customFormat="1" ht="21.75" customHeight="1">
      <c r="A62" s="98" t="s">
        <v>142</v>
      </c>
      <c r="B62" s="76">
        <v>1</v>
      </c>
      <c r="C62" s="77"/>
      <c r="D62" s="78" t="s">
        <v>64</v>
      </c>
      <c r="E62" s="79" t="s">
        <v>325</v>
      </c>
      <c r="F62" s="79" t="s">
        <v>118</v>
      </c>
      <c r="G62" s="79" t="s">
        <v>121</v>
      </c>
      <c r="H62" s="80" t="s">
        <v>122</v>
      </c>
      <c r="I62" s="81">
        <f>10000</f>
        <v>10000</v>
      </c>
      <c r="J62" s="84">
        <f>J63+J64</f>
        <v>0</v>
      </c>
      <c r="K62" s="82">
        <f>IF(ISNUMBER(I62),I62,0)-IF(ISNUMBER(J62),J62,0)</f>
        <v>10000</v>
      </c>
    </row>
    <row r="63" spans="1:11" s="83" customFormat="1" ht="22.5" customHeight="1" hidden="1">
      <c r="A63" s="98" t="s">
        <v>142</v>
      </c>
      <c r="B63" s="76">
        <v>1</v>
      </c>
      <c r="C63" s="77"/>
      <c r="D63" s="78" t="s">
        <v>64</v>
      </c>
      <c r="E63" s="79" t="s">
        <v>325</v>
      </c>
      <c r="F63" s="79" t="s">
        <v>118</v>
      </c>
      <c r="G63" s="79" t="s">
        <v>320</v>
      </c>
      <c r="H63" s="80" t="s">
        <v>122</v>
      </c>
      <c r="I63" s="81">
        <v>0</v>
      </c>
      <c r="J63" s="84">
        <v>0</v>
      </c>
      <c r="K63" s="82">
        <f t="shared" si="0"/>
        <v>0</v>
      </c>
    </row>
    <row r="64" spans="1:11" s="83" customFormat="1" ht="22.5" customHeight="1" hidden="1">
      <c r="A64" s="98" t="s">
        <v>142</v>
      </c>
      <c r="B64" s="76">
        <v>1</v>
      </c>
      <c r="C64" s="77"/>
      <c r="D64" s="78" t="s">
        <v>64</v>
      </c>
      <c r="E64" s="79" t="s">
        <v>325</v>
      </c>
      <c r="F64" s="79" t="s">
        <v>118</v>
      </c>
      <c r="G64" s="79" t="s">
        <v>326</v>
      </c>
      <c r="H64" s="80" t="s">
        <v>122</v>
      </c>
      <c r="I64" s="81">
        <v>0</v>
      </c>
      <c r="J64" s="84">
        <v>0</v>
      </c>
      <c r="K64" s="82">
        <f>IF(ISNUMBER(I64),I64,0)-IF(ISNUMBER(J64),J64,0)</f>
        <v>0</v>
      </c>
    </row>
    <row r="65" spans="1:11" s="83" customFormat="1" ht="12" customHeight="1">
      <c r="A65" s="75" t="s">
        <v>143</v>
      </c>
      <c r="B65" s="76">
        <v>1</v>
      </c>
      <c r="C65" s="77"/>
      <c r="D65" s="78" t="s">
        <v>64</v>
      </c>
      <c r="E65" s="79" t="s">
        <v>85</v>
      </c>
      <c r="F65" s="79" t="s">
        <v>117</v>
      </c>
      <c r="G65" s="79" t="s">
        <v>121</v>
      </c>
      <c r="H65" s="80" t="s">
        <v>63</v>
      </c>
      <c r="I65" s="81">
        <f>I66+I73</f>
        <v>9280000</v>
      </c>
      <c r="J65" s="81">
        <f>J66+J73</f>
        <v>1631948.43</v>
      </c>
      <c r="K65" s="82">
        <f t="shared" si="0"/>
        <v>7648051.57</v>
      </c>
    </row>
    <row r="66" spans="1:11" s="83" customFormat="1" ht="23.25" customHeight="1">
      <c r="A66" s="98" t="s">
        <v>144</v>
      </c>
      <c r="B66" s="76">
        <v>1</v>
      </c>
      <c r="C66" s="77"/>
      <c r="D66" s="78" t="s">
        <v>64</v>
      </c>
      <c r="E66" s="79" t="s">
        <v>86</v>
      </c>
      <c r="F66" s="79" t="s">
        <v>119</v>
      </c>
      <c r="G66" s="79" t="s">
        <v>121</v>
      </c>
      <c r="H66" s="80" t="s">
        <v>122</v>
      </c>
      <c r="I66" s="81">
        <f>480000</f>
        <v>480000</v>
      </c>
      <c r="J66" s="84">
        <f>J67+J68+J69</f>
        <v>85429.23999999999</v>
      </c>
      <c r="K66" s="82">
        <f t="shared" si="0"/>
        <v>394570.76</v>
      </c>
    </row>
    <row r="67" spans="1:11" s="83" customFormat="1" ht="21" customHeight="1">
      <c r="A67" s="98" t="s">
        <v>144</v>
      </c>
      <c r="B67" s="76">
        <v>1</v>
      </c>
      <c r="C67" s="77"/>
      <c r="D67" s="78" t="s">
        <v>64</v>
      </c>
      <c r="E67" s="79" t="s">
        <v>86</v>
      </c>
      <c r="F67" s="79" t="s">
        <v>119</v>
      </c>
      <c r="G67" s="79" t="s">
        <v>320</v>
      </c>
      <c r="H67" s="80" t="s">
        <v>122</v>
      </c>
      <c r="I67" s="81">
        <v>0</v>
      </c>
      <c r="J67" s="84">
        <v>82745.79</v>
      </c>
      <c r="K67" s="82">
        <f>IF(ISNUMBER(I67),I67,0)-IF(ISNUMBER(J67),J67,0)</f>
        <v>-82745.79</v>
      </c>
    </row>
    <row r="68" spans="1:11" s="83" customFormat="1" ht="21.75" customHeight="1">
      <c r="A68" s="98" t="s">
        <v>144</v>
      </c>
      <c r="B68" s="76">
        <v>1</v>
      </c>
      <c r="C68" s="77"/>
      <c r="D68" s="78" t="s">
        <v>64</v>
      </c>
      <c r="E68" s="79" t="s">
        <v>86</v>
      </c>
      <c r="F68" s="79" t="s">
        <v>119</v>
      </c>
      <c r="G68" s="79" t="s">
        <v>326</v>
      </c>
      <c r="H68" s="80" t="s">
        <v>122</v>
      </c>
      <c r="I68" s="81">
        <v>0</v>
      </c>
      <c r="J68" s="84">
        <v>2683.45</v>
      </c>
      <c r="K68" s="82">
        <f>IF(ISNUMBER(I68),I68,0)-IF(ISNUMBER(J68),J68,0)</f>
        <v>-2683.45</v>
      </c>
    </row>
    <row r="69" spans="1:11" s="83" customFormat="1" ht="21" customHeight="1" hidden="1">
      <c r="A69" s="98" t="s">
        <v>144</v>
      </c>
      <c r="B69" s="76">
        <v>1</v>
      </c>
      <c r="C69" s="77"/>
      <c r="D69" s="78" t="s">
        <v>64</v>
      </c>
      <c r="E69" s="79" t="s">
        <v>86</v>
      </c>
      <c r="F69" s="79" t="s">
        <v>119</v>
      </c>
      <c r="G69" s="79" t="s">
        <v>322</v>
      </c>
      <c r="H69" s="80" t="s">
        <v>122</v>
      </c>
      <c r="I69" s="81">
        <v>0</v>
      </c>
      <c r="J69" s="84">
        <v>0</v>
      </c>
      <c r="K69" s="82">
        <f>IF(ISNUMBER(I69),I69,0)-IF(ISNUMBER(J69),J69,0)</f>
        <v>0</v>
      </c>
    </row>
    <row r="70" spans="1:11" s="83" customFormat="1" ht="22.5" hidden="1">
      <c r="A70" s="98" t="s">
        <v>145</v>
      </c>
      <c r="B70" s="76">
        <v>1</v>
      </c>
      <c r="C70" s="77"/>
      <c r="D70" s="78" t="s">
        <v>64</v>
      </c>
      <c r="E70" s="79" t="s">
        <v>87</v>
      </c>
      <c r="F70" s="79" t="s">
        <v>120</v>
      </c>
      <c r="G70" s="79" t="s">
        <v>121</v>
      </c>
      <c r="H70" s="80" t="s">
        <v>122</v>
      </c>
      <c r="I70" s="81"/>
      <c r="J70" s="84"/>
      <c r="K70" s="82">
        <f t="shared" si="0"/>
        <v>0</v>
      </c>
    </row>
    <row r="71" spans="1:11" s="83" customFormat="1" ht="22.5" hidden="1">
      <c r="A71" s="98" t="s">
        <v>146</v>
      </c>
      <c r="B71" s="76">
        <v>1</v>
      </c>
      <c r="C71" s="77"/>
      <c r="D71" s="78" t="s">
        <v>64</v>
      </c>
      <c r="E71" s="79" t="s">
        <v>88</v>
      </c>
      <c r="F71" s="79" t="s">
        <v>120</v>
      </c>
      <c r="G71" s="79" t="s">
        <v>121</v>
      </c>
      <c r="H71" s="80" t="s">
        <v>122</v>
      </c>
      <c r="I71" s="81"/>
      <c r="J71" s="84"/>
      <c r="K71" s="82">
        <f t="shared" si="0"/>
        <v>0</v>
      </c>
    </row>
    <row r="72" spans="1:11" s="83" customFormat="1" ht="22.5" hidden="1">
      <c r="A72" s="98" t="s">
        <v>147</v>
      </c>
      <c r="B72" s="76">
        <v>1</v>
      </c>
      <c r="C72" s="77"/>
      <c r="D72" s="78" t="s">
        <v>64</v>
      </c>
      <c r="E72" s="79" t="s">
        <v>89</v>
      </c>
      <c r="F72" s="79" t="s">
        <v>120</v>
      </c>
      <c r="G72" s="79" t="s">
        <v>121</v>
      </c>
      <c r="H72" s="80" t="s">
        <v>122</v>
      </c>
      <c r="I72" s="81"/>
      <c r="J72" s="84"/>
      <c r="K72" s="82">
        <f t="shared" si="0"/>
        <v>0</v>
      </c>
    </row>
    <row r="73" spans="1:11" s="83" customFormat="1" ht="21.75" customHeight="1">
      <c r="A73" s="98" t="s">
        <v>148</v>
      </c>
      <c r="B73" s="76">
        <v>1</v>
      </c>
      <c r="C73" s="77"/>
      <c r="D73" s="78" t="s">
        <v>64</v>
      </c>
      <c r="E73" s="79" t="s">
        <v>328</v>
      </c>
      <c r="F73" s="79" t="s">
        <v>119</v>
      </c>
      <c r="G73" s="79" t="s">
        <v>121</v>
      </c>
      <c r="H73" s="80" t="s">
        <v>122</v>
      </c>
      <c r="I73" s="81">
        <f>I74+I78</f>
        <v>8800000</v>
      </c>
      <c r="J73" s="81">
        <f>J74+J78</f>
        <v>1546519.19</v>
      </c>
      <c r="K73" s="82">
        <f>IF(ISNUMBER(I73),I73,0)-IF(ISNUMBER(J73),J73,0)</f>
        <v>7253480.8100000005</v>
      </c>
    </row>
    <row r="74" spans="1:11" s="83" customFormat="1" ht="33.75" customHeight="1">
      <c r="A74" s="98" t="s">
        <v>149</v>
      </c>
      <c r="B74" s="76">
        <v>1</v>
      </c>
      <c r="C74" s="77"/>
      <c r="D74" s="78" t="s">
        <v>64</v>
      </c>
      <c r="E74" s="79" t="s">
        <v>90</v>
      </c>
      <c r="F74" s="79" t="s">
        <v>119</v>
      </c>
      <c r="G74" s="79" t="s">
        <v>121</v>
      </c>
      <c r="H74" s="80" t="s">
        <v>122</v>
      </c>
      <c r="I74" s="81">
        <f>800000</f>
        <v>800000</v>
      </c>
      <c r="J74" s="84">
        <f>J75+J76+J77</f>
        <v>43811.03</v>
      </c>
      <c r="K74" s="82">
        <f t="shared" si="0"/>
        <v>756188.97</v>
      </c>
    </row>
    <row r="75" spans="1:11" s="83" customFormat="1" ht="33.75" customHeight="1">
      <c r="A75" s="98" t="s">
        <v>149</v>
      </c>
      <c r="B75" s="76">
        <v>1</v>
      </c>
      <c r="C75" s="77"/>
      <c r="D75" s="78" t="s">
        <v>64</v>
      </c>
      <c r="E75" s="79" t="s">
        <v>90</v>
      </c>
      <c r="F75" s="79" t="s">
        <v>119</v>
      </c>
      <c r="G75" s="79" t="s">
        <v>320</v>
      </c>
      <c r="H75" s="80" t="s">
        <v>122</v>
      </c>
      <c r="I75" s="81">
        <v>0</v>
      </c>
      <c r="J75" s="84">
        <v>42253.77</v>
      </c>
      <c r="K75" s="82">
        <f>IF(ISNUMBER(I75),I75,0)-IF(ISNUMBER(J75),J75,0)</f>
        <v>-42253.77</v>
      </c>
    </row>
    <row r="76" spans="1:11" s="83" customFormat="1" ht="34.5" customHeight="1">
      <c r="A76" s="98" t="s">
        <v>149</v>
      </c>
      <c r="B76" s="76">
        <v>1</v>
      </c>
      <c r="C76" s="77"/>
      <c r="D76" s="78" t="s">
        <v>64</v>
      </c>
      <c r="E76" s="79" t="s">
        <v>90</v>
      </c>
      <c r="F76" s="79" t="s">
        <v>119</v>
      </c>
      <c r="G76" s="79" t="s">
        <v>326</v>
      </c>
      <c r="H76" s="80" t="s">
        <v>122</v>
      </c>
      <c r="I76" s="81">
        <v>0</v>
      </c>
      <c r="J76" s="84">
        <v>1557.26</v>
      </c>
      <c r="K76" s="82">
        <f>IF(ISNUMBER(I76),I76,0)-IF(ISNUMBER(J76),J76,0)</f>
        <v>-1557.26</v>
      </c>
    </row>
    <row r="77" spans="1:11" s="83" customFormat="1" ht="34.5" customHeight="1" hidden="1">
      <c r="A77" s="98" t="s">
        <v>149</v>
      </c>
      <c r="B77" s="76">
        <v>1</v>
      </c>
      <c r="C77" s="77"/>
      <c r="D77" s="78" t="s">
        <v>64</v>
      </c>
      <c r="E77" s="79" t="s">
        <v>90</v>
      </c>
      <c r="F77" s="79" t="s">
        <v>119</v>
      </c>
      <c r="G77" s="79" t="s">
        <v>322</v>
      </c>
      <c r="H77" s="80" t="s">
        <v>122</v>
      </c>
      <c r="I77" s="81">
        <v>0</v>
      </c>
      <c r="J77" s="84">
        <v>0</v>
      </c>
      <c r="K77" s="82">
        <f>IF(ISNUMBER(I77),I77,0)-IF(ISNUMBER(J77),J77,0)</f>
        <v>0</v>
      </c>
    </row>
    <row r="78" spans="1:11" s="83" customFormat="1" ht="33.75" customHeight="1">
      <c r="A78" s="98" t="s">
        <v>150</v>
      </c>
      <c r="B78" s="76">
        <v>1</v>
      </c>
      <c r="C78" s="77"/>
      <c r="D78" s="78" t="s">
        <v>64</v>
      </c>
      <c r="E78" s="79" t="s">
        <v>91</v>
      </c>
      <c r="F78" s="79" t="s">
        <v>119</v>
      </c>
      <c r="G78" s="79" t="s">
        <v>121</v>
      </c>
      <c r="H78" s="80" t="s">
        <v>122</v>
      </c>
      <c r="I78" s="81">
        <f>8000000</f>
        <v>8000000</v>
      </c>
      <c r="J78" s="84">
        <f>J80+J81+J79</f>
        <v>1502708.16</v>
      </c>
      <c r="K78" s="82">
        <f t="shared" si="0"/>
        <v>6497291.84</v>
      </c>
    </row>
    <row r="79" spans="1:11" s="83" customFormat="1" ht="33" customHeight="1">
      <c r="A79" s="98" t="s">
        <v>150</v>
      </c>
      <c r="B79" s="76">
        <v>1</v>
      </c>
      <c r="C79" s="77"/>
      <c r="D79" s="78" t="s">
        <v>64</v>
      </c>
      <c r="E79" s="79" t="s">
        <v>91</v>
      </c>
      <c r="F79" s="79" t="s">
        <v>119</v>
      </c>
      <c r="G79" s="79" t="s">
        <v>320</v>
      </c>
      <c r="H79" s="80" t="s">
        <v>122</v>
      </c>
      <c r="I79" s="81">
        <v>0</v>
      </c>
      <c r="J79" s="84">
        <v>1501253.5</v>
      </c>
      <c r="K79" s="82">
        <f>IF(ISNUMBER(I79),I79,0)-IF(ISNUMBER(J79),J79,0)</f>
        <v>-1501253.5</v>
      </c>
    </row>
    <row r="80" spans="1:11" s="83" customFormat="1" ht="33.75" customHeight="1">
      <c r="A80" s="98" t="s">
        <v>150</v>
      </c>
      <c r="B80" s="76">
        <v>1</v>
      </c>
      <c r="C80" s="77"/>
      <c r="D80" s="78" t="s">
        <v>64</v>
      </c>
      <c r="E80" s="79" t="s">
        <v>91</v>
      </c>
      <c r="F80" s="79" t="s">
        <v>119</v>
      </c>
      <c r="G80" s="79" t="s">
        <v>326</v>
      </c>
      <c r="H80" s="80" t="s">
        <v>122</v>
      </c>
      <c r="I80" s="81">
        <v>0</v>
      </c>
      <c r="J80" s="84">
        <v>1454.66</v>
      </c>
      <c r="K80" s="82">
        <f>IF(ISNUMBER(I80),I80,0)-IF(ISNUMBER(J80),J80,0)</f>
        <v>-1454.66</v>
      </c>
    </row>
    <row r="81" spans="1:11" s="83" customFormat="1" ht="33.75" customHeight="1" hidden="1">
      <c r="A81" s="98" t="s">
        <v>150</v>
      </c>
      <c r="B81" s="76">
        <v>1</v>
      </c>
      <c r="C81" s="77"/>
      <c r="D81" s="78" t="s">
        <v>64</v>
      </c>
      <c r="E81" s="79" t="s">
        <v>91</v>
      </c>
      <c r="F81" s="79" t="s">
        <v>119</v>
      </c>
      <c r="G81" s="79" t="s">
        <v>321</v>
      </c>
      <c r="H81" s="80" t="s">
        <v>122</v>
      </c>
      <c r="I81" s="81">
        <v>0</v>
      </c>
      <c r="J81" s="84">
        <v>0</v>
      </c>
      <c r="K81" s="82">
        <f>IF(ISNUMBER(I81),I81,0)-IF(ISNUMBER(J81),J81,0)</f>
        <v>0</v>
      </c>
    </row>
    <row r="82" spans="1:11" s="83" customFormat="1" ht="33" customHeight="1">
      <c r="A82" s="75" t="s">
        <v>151</v>
      </c>
      <c r="B82" s="76">
        <v>1</v>
      </c>
      <c r="C82" s="77"/>
      <c r="D82" s="78" t="s">
        <v>64</v>
      </c>
      <c r="E82" s="79" t="s">
        <v>92</v>
      </c>
      <c r="F82" s="79" t="s">
        <v>117</v>
      </c>
      <c r="G82" s="79" t="s">
        <v>121</v>
      </c>
      <c r="H82" s="80" t="s">
        <v>63</v>
      </c>
      <c r="I82" s="81">
        <f>I83</f>
        <v>5000</v>
      </c>
      <c r="J82" s="81">
        <f>J83</f>
        <v>0</v>
      </c>
      <c r="K82" s="82">
        <f t="shared" si="0"/>
        <v>5000</v>
      </c>
    </row>
    <row r="83" spans="1:11" s="83" customFormat="1" ht="12.75" customHeight="1">
      <c r="A83" s="98" t="s">
        <v>152</v>
      </c>
      <c r="B83" s="76">
        <v>1</v>
      </c>
      <c r="C83" s="77"/>
      <c r="D83" s="78" t="s">
        <v>64</v>
      </c>
      <c r="E83" s="79" t="s">
        <v>93</v>
      </c>
      <c r="F83" s="79" t="s">
        <v>117</v>
      </c>
      <c r="G83" s="79" t="s">
        <v>121</v>
      </c>
      <c r="H83" s="80" t="s">
        <v>122</v>
      </c>
      <c r="I83" s="81">
        <f>I84+I85</f>
        <v>5000</v>
      </c>
      <c r="J83" s="81">
        <f>J84</f>
        <v>0</v>
      </c>
      <c r="K83" s="82">
        <f t="shared" si="0"/>
        <v>5000</v>
      </c>
    </row>
    <row r="84" spans="1:11" s="83" customFormat="1" ht="22.5" customHeight="1">
      <c r="A84" s="98" t="s">
        <v>441</v>
      </c>
      <c r="B84" s="76">
        <v>1</v>
      </c>
      <c r="C84" s="77"/>
      <c r="D84" s="78" t="s">
        <v>64</v>
      </c>
      <c r="E84" s="79" t="s">
        <v>327</v>
      </c>
      <c r="F84" s="79" t="s">
        <v>119</v>
      </c>
      <c r="G84" s="79" t="s">
        <v>121</v>
      </c>
      <c r="H84" s="80" t="s">
        <v>122</v>
      </c>
      <c r="I84" s="81">
        <f>5000</f>
        <v>5000</v>
      </c>
      <c r="J84" s="84">
        <f>J85+J86</f>
        <v>0</v>
      </c>
      <c r="K84" s="82">
        <f t="shared" si="0"/>
        <v>5000</v>
      </c>
    </row>
    <row r="85" spans="1:11" s="83" customFormat="1" ht="22.5" customHeight="1" hidden="1">
      <c r="A85" s="98" t="s">
        <v>441</v>
      </c>
      <c r="B85" s="76">
        <v>1</v>
      </c>
      <c r="C85" s="77"/>
      <c r="D85" s="78" t="s">
        <v>64</v>
      </c>
      <c r="E85" s="79" t="s">
        <v>327</v>
      </c>
      <c r="F85" s="79" t="s">
        <v>119</v>
      </c>
      <c r="G85" s="79" t="s">
        <v>320</v>
      </c>
      <c r="H85" s="80" t="s">
        <v>122</v>
      </c>
      <c r="I85" s="81">
        <v>0</v>
      </c>
      <c r="J85" s="84">
        <v>0</v>
      </c>
      <c r="K85" s="82">
        <f>IF(ISNUMBER(I85),I85,0)-IF(ISNUMBER(J85),J85,0)</f>
        <v>0</v>
      </c>
    </row>
    <row r="86" spans="1:11" s="83" customFormat="1" ht="23.25" customHeight="1" hidden="1">
      <c r="A86" s="98" t="s">
        <v>441</v>
      </c>
      <c r="B86" s="76">
        <v>2</v>
      </c>
      <c r="C86" s="77"/>
      <c r="D86" s="78" t="s">
        <v>64</v>
      </c>
      <c r="E86" s="79" t="s">
        <v>327</v>
      </c>
      <c r="F86" s="79" t="s">
        <v>119</v>
      </c>
      <c r="G86" s="79" t="s">
        <v>326</v>
      </c>
      <c r="H86" s="80" t="s">
        <v>122</v>
      </c>
      <c r="I86" s="81">
        <v>0</v>
      </c>
      <c r="J86" s="84">
        <v>0</v>
      </c>
      <c r="K86" s="82">
        <f>IF(ISNUMBER(I86),I86,0)-IF(ISNUMBER(J86),J86,0)</f>
        <v>0</v>
      </c>
    </row>
    <row r="87" spans="1:11" s="83" customFormat="1" ht="33.75" customHeight="1">
      <c r="A87" s="75" t="s">
        <v>153</v>
      </c>
      <c r="B87" s="76">
        <v>1</v>
      </c>
      <c r="C87" s="77"/>
      <c r="D87" s="78" t="s">
        <v>65</v>
      </c>
      <c r="E87" s="79" t="s">
        <v>94</v>
      </c>
      <c r="F87" s="79" t="s">
        <v>117</v>
      </c>
      <c r="G87" s="79" t="s">
        <v>121</v>
      </c>
      <c r="H87" s="80" t="s">
        <v>63</v>
      </c>
      <c r="I87" s="81">
        <f>I88</f>
        <v>3602000</v>
      </c>
      <c r="J87" s="81">
        <f>J88</f>
        <v>739800.76</v>
      </c>
      <c r="K87" s="82">
        <f t="shared" si="0"/>
        <v>2862199.24</v>
      </c>
    </row>
    <row r="88" spans="1:11" s="83" customFormat="1" ht="68.25" customHeight="1">
      <c r="A88" s="98" t="s">
        <v>154</v>
      </c>
      <c r="B88" s="76">
        <v>1</v>
      </c>
      <c r="C88" s="77"/>
      <c r="D88" s="78" t="s">
        <v>65</v>
      </c>
      <c r="E88" s="79" t="s">
        <v>95</v>
      </c>
      <c r="F88" s="79" t="s">
        <v>117</v>
      </c>
      <c r="G88" s="79" t="s">
        <v>121</v>
      </c>
      <c r="H88" s="80" t="s">
        <v>123</v>
      </c>
      <c r="I88" s="81">
        <f>I89+I92+I94</f>
        <v>3602000</v>
      </c>
      <c r="J88" s="81">
        <f>J89+J92+J94</f>
        <v>739800.76</v>
      </c>
      <c r="K88" s="82">
        <f t="shared" si="0"/>
        <v>2862199.24</v>
      </c>
    </row>
    <row r="89" spans="1:11" s="83" customFormat="1" ht="67.5" customHeight="1">
      <c r="A89" s="98" t="s">
        <v>155</v>
      </c>
      <c r="B89" s="76">
        <v>1</v>
      </c>
      <c r="C89" s="77"/>
      <c r="D89" s="78" t="s">
        <v>63</v>
      </c>
      <c r="E89" s="79" t="s">
        <v>96</v>
      </c>
      <c r="F89" s="79" t="s">
        <v>119</v>
      </c>
      <c r="G89" s="79" t="s">
        <v>121</v>
      </c>
      <c r="H89" s="80" t="s">
        <v>123</v>
      </c>
      <c r="I89" s="81">
        <f>I90+I91</f>
        <v>320000</v>
      </c>
      <c r="J89" s="81">
        <f>J90+J91</f>
        <v>74237.95</v>
      </c>
      <c r="K89" s="82">
        <f>IF(ISNUMBER(I89),I89,0)-IF(ISNUMBER(J89),J89,0)</f>
        <v>245762.05</v>
      </c>
    </row>
    <row r="90" spans="1:11" s="83" customFormat="1" ht="66.75" customHeight="1">
      <c r="A90" s="98" t="s">
        <v>155</v>
      </c>
      <c r="B90" s="76">
        <v>1</v>
      </c>
      <c r="C90" s="77"/>
      <c r="D90" s="78" t="s">
        <v>456</v>
      </c>
      <c r="E90" s="79" t="s">
        <v>329</v>
      </c>
      <c r="F90" s="79" t="s">
        <v>119</v>
      </c>
      <c r="G90" s="79" t="s">
        <v>121</v>
      </c>
      <c r="H90" s="80" t="s">
        <v>123</v>
      </c>
      <c r="I90" s="81">
        <f>320000</f>
        <v>320000</v>
      </c>
      <c r="J90" s="84">
        <v>74237.95</v>
      </c>
      <c r="K90" s="82">
        <f>IF(ISNUMBER(I90),I90,0)-IF(ISNUMBER(J90),J90,0)</f>
        <v>245762.05</v>
      </c>
    </row>
    <row r="91" spans="1:11" s="83" customFormat="1" ht="66.75" customHeight="1" hidden="1">
      <c r="A91" s="98" t="s">
        <v>155</v>
      </c>
      <c r="B91" s="76">
        <v>1</v>
      </c>
      <c r="C91" s="77"/>
      <c r="D91" s="78" t="s">
        <v>65</v>
      </c>
      <c r="E91" s="79" t="s">
        <v>329</v>
      </c>
      <c r="F91" s="79" t="s">
        <v>119</v>
      </c>
      <c r="G91" s="79" t="s">
        <v>121</v>
      </c>
      <c r="H91" s="80" t="s">
        <v>123</v>
      </c>
      <c r="I91" s="81">
        <f>320000-320000</f>
        <v>0</v>
      </c>
      <c r="J91" s="84">
        <v>0</v>
      </c>
      <c r="K91" s="82">
        <f t="shared" si="0"/>
        <v>0</v>
      </c>
    </row>
    <row r="92" spans="1:11" s="83" customFormat="1" ht="79.5" customHeight="1">
      <c r="A92" s="98" t="s">
        <v>156</v>
      </c>
      <c r="B92" s="76">
        <v>1</v>
      </c>
      <c r="C92" s="77"/>
      <c r="D92" s="78" t="s">
        <v>65</v>
      </c>
      <c r="E92" s="79" t="s">
        <v>97</v>
      </c>
      <c r="F92" s="79" t="s">
        <v>119</v>
      </c>
      <c r="G92" s="79" t="s">
        <v>121</v>
      </c>
      <c r="H92" s="80" t="s">
        <v>123</v>
      </c>
      <c r="I92" s="81">
        <f>I93</f>
        <v>2782000</v>
      </c>
      <c r="J92" s="81">
        <f>J93</f>
        <v>516442.26</v>
      </c>
      <c r="K92" s="82">
        <f t="shared" si="0"/>
        <v>2265557.74</v>
      </c>
    </row>
    <row r="93" spans="1:11" s="83" customFormat="1" ht="44.25" customHeight="1">
      <c r="A93" s="98" t="s">
        <v>157</v>
      </c>
      <c r="B93" s="76">
        <v>1</v>
      </c>
      <c r="C93" s="77"/>
      <c r="D93" s="78" t="s">
        <v>65</v>
      </c>
      <c r="E93" s="79" t="s">
        <v>98</v>
      </c>
      <c r="F93" s="79" t="s">
        <v>119</v>
      </c>
      <c r="G93" s="79" t="s">
        <v>121</v>
      </c>
      <c r="H93" s="80" t="s">
        <v>123</v>
      </c>
      <c r="I93" s="81">
        <f>2782000</f>
        <v>2782000</v>
      </c>
      <c r="J93" s="84">
        <v>516442.26</v>
      </c>
      <c r="K93" s="82">
        <f t="shared" si="0"/>
        <v>2265557.74</v>
      </c>
    </row>
    <row r="94" spans="1:11" s="83" customFormat="1" ht="67.5" customHeight="1">
      <c r="A94" s="98" t="s">
        <v>158</v>
      </c>
      <c r="B94" s="76">
        <v>1</v>
      </c>
      <c r="C94" s="77"/>
      <c r="D94" s="78" t="s">
        <v>65</v>
      </c>
      <c r="E94" s="79" t="s">
        <v>99</v>
      </c>
      <c r="F94" s="79" t="s">
        <v>119</v>
      </c>
      <c r="G94" s="79" t="s">
        <v>121</v>
      </c>
      <c r="H94" s="80" t="s">
        <v>123</v>
      </c>
      <c r="I94" s="81">
        <f>I95</f>
        <v>500000</v>
      </c>
      <c r="J94" s="81">
        <f>J95</f>
        <v>149120.55</v>
      </c>
      <c r="K94" s="82">
        <f t="shared" si="0"/>
        <v>350879.45</v>
      </c>
    </row>
    <row r="95" spans="1:11" s="83" customFormat="1" ht="55.5" customHeight="1">
      <c r="A95" s="98" t="s">
        <v>159</v>
      </c>
      <c r="B95" s="76">
        <v>1</v>
      </c>
      <c r="C95" s="77"/>
      <c r="D95" s="78" t="s">
        <v>65</v>
      </c>
      <c r="E95" s="79" t="s">
        <v>100</v>
      </c>
      <c r="F95" s="79" t="s">
        <v>119</v>
      </c>
      <c r="G95" s="79" t="s">
        <v>121</v>
      </c>
      <c r="H95" s="80" t="s">
        <v>123</v>
      </c>
      <c r="I95" s="81">
        <f>500000</f>
        <v>500000</v>
      </c>
      <c r="J95" s="84">
        <v>149120.55</v>
      </c>
      <c r="K95" s="82">
        <f t="shared" si="0"/>
        <v>350879.45</v>
      </c>
    </row>
    <row r="96" spans="1:11" s="83" customFormat="1" ht="23.25" customHeight="1">
      <c r="A96" s="75" t="s">
        <v>160</v>
      </c>
      <c r="B96" s="76">
        <v>1</v>
      </c>
      <c r="C96" s="77"/>
      <c r="D96" s="78" t="s">
        <v>65</v>
      </c>
      <c r="E96" s="79" t="s">
        <v>101</v>
      </c>
      <c r="F96" s="79" t="s">
        <v>117</v>
      </c>
      <c r="G96" s="79" t="s">
        <v>121</v>
      </c>
      <c r="H96" s="80" t="s">
        <v>63</v>
      </c>
      <c r="I96" s="81">
        <f>I97+I99</f>
        <v>134160</v>
      </c>
      <c r="J96" s="81">
        <f>J97+J99</f>
        <v>60336.58</v>
      </c>
      <c r="K96" s="82">
        <f t="shared" si="0"/>
        <v>73823.42</v>
      </c>
    </row>
    <row r="97" spans="1:11" s="83" customFormat="1" ht="15.75" customHeight="1">
      <c r="A97" s="98" t="s">
        <v>451</v>
      </c>
      <c r="B97" s="76">
        <v>1</v>
      </c>
      <c r="C97" s="77"/>
      <c r="D97" s="78" t="s">
        <v>65</v>
      </c>
      <c r="E97" s="79" t="s">
        <v>331</v>
      </c>
      <c r="F97" s="79" t="s">
        <v>117</v>
      </c>
      <c r="G97" s="79" t="s">
        <v>121</v>
      </c>
      <c r="H97" s="80" t="s">
        <v>124</v>
      </c>
      <c r="I97" s="81">
        <f>I98</f>
        <v>134160</v>
      </c>
      <c r="J97" s="81">
        <f>J98</f>
        <v>59321</v>
      </c>
      <c r="K97" s="82">
        <f t="shared" si="0"/>
        <v>74839</v>
      </c>
    </row>
    <row r="98" spans="1:11" s="83" customFormat="1" ht="22.5" customHeight="1">
      <c r="A98" s="98" t="s">
        <v>161</v>
      </c>
      <c r="B98" s="76">
        <v>1</v>
      </c>
      <c r="C98" s="77"/>
      <c r="D98" s="78" t="s">
        <v>65</v>
      </c>
      <c r="E98" s="79" t="s">
        <v>330</v>
      </c>
      <c r="F98" s="79" t="s">
        <v>119</v>
      </c>
      <c r="G98" s="79" t="s">
        <v>121</v>
      </c>
      <c r="H98" s="80" t="s">
        <v>124</v>
      </c>
      <c r="I98" s="81">
        <f>134160</f>
        <v>134160</v>
      </c>
      <c r="J98" s="84">
        <v>59321</v>
      </c>
      <c r="K98" s="82">
        <f t="shared" si="0"/>
        <v>74839</v>
      </c>
    </row>
    <row r="99" spans="1:11" s="83" customFormat="1" ht="15.75" customHeight="1">
      <c r="A99" s="98" t="s">
        <v>450</v>
      </c>
      <c r="B99" s="76"/>
      <c r="C99" s="77"/>
      <c r="D99" s="78" t="s">
        <v>65</v>
      </c>
      <c r="E99" s="79" t="s">
        <v>453</v>
      </c>
      <c r="F99" s="79" t="s">
        <v>117</v>
      </c>
      <c r="G99" s="79" t="s">
        <v>121</v>
      </c>
      <c r="H99" s="80" t="s">
        <v>124</v>
      </c>
      <c r="I99" s="81">
        <f>I100</f>
        <v>0</v>
      </c>
      <c r="J99" s="81">
        <f>J100</f>
        <v>1015.58</v>
      </c>
      <c r="K99" s="82">
        <f t="shared" si="0"/>
        <v>-1015.58</v>
      </c>
    </row>
    <row r="100" spans="1:11" s="83" customFormat="1" ht="35.25" customHeight="1">
      <c r="A100" s="98" t="s">
        <v>452</v>
      </c>
      <c r="B100" s="76"/>
      <c r="C100" s="77"/>
      <c r="D100" s="78" t="s">
        <v>65</v>
      </c>
      <c r="E100" s="79" t="s">
        <v>454</v>
      </c>
      <c r="F100" s="79" t="s">
        <v>119</v>
      </c>
      <c r="G100" s="79" t="s">
        <v>121</v>
      </c>
      <c r="H100" s="80" t="s">
        <v>124</v>
      </c>
      <c r="I100" s="81">
        <f>0</f>
        <v>0</v>
      </c>
      <c r="J100" s="81">
        <v>1015.58</v>
      </c>
      <c r="K100" s="82">
        <f t="shared" si="0"/>
        <v>-1015.58</v>
      </c>
    </row>
    <row r="101" spans="1:11" s="83" customFormat="1" ht="21.75" customHeight="1">
      <c r="A101" s="75" t="s">
        <v>162</v>
      </c>
      <c r="B101" s="76">
        <v>1</v>
      </c>
      <c r="C101" s="77"/>
      <c r="D101" s="78" t="s">
        <v>65</v>
      </c>
      <c r="E101" s="79" t="s">
        <v>102</v>
      </c>
      <c r="F101" s="79" t="s">
        <v>117</v>
      </c>
      <c r="G101" s="79" t="s">
        <v>121</v>
      </c>
      <c r="H101" s="80" t="s">
        <v>63</v>
      </c>
      <c r="I101" s="81">
        <f>I102+I105</f>
        <v>3200000</v>
      </c>
      <c r="J101" s="81">
        <f>J102+J105</f>
        <v>142358</v>
      </c>
      <c r="K101" s="82">
        <f t="shared" si="0"/>
        <v>3057642</v>
      </c>
    </row>
    <row r="102" spans="1:11" s="83" customFormat="1" ht="21" customHeight="1">
      <c r="A102" s="98" t="s">
        <v>163</v>
      </c>
      <c r="B102" s="76">
        <v>1</v>
      </c>
      <c r="C102" s="77"/>
      <c r="D102" s="78" t="s">
        <v>65</v>
      </c>
      <c r="E102" s="79" t="s">
        <v>103</v>
      </c>
      <c r="F102" s="79" t="s">
        <v>117</v>
      </c>
      <c r="G102" s="79" t="s">
        <v>121</v>
      </c>
      <c r="H102" s="80" t="s">
        <v>125</v>
      </c>
      <c r="I102" s="81">
        <f>I103</f>
        <v>2700000</v>
      </c>
      <c r="J102" s="81">
        <f>J103</f>
        <v>0</v>
      </c>
      <c r="K102" s="82">
        <f t="shared" si="0"/>
        <v>2700000</v>
      </c>
    </row>
    <row r="103" spans="1:11" s="83" customFormat="1" ht="33.75" customHeight="1">
      <c r="A103" s="98" t="s">
        <v>164</v>
      </c>
      <c r="B103" s="76">
        <v>1</v>
      </c>
      <c r="C103" s="77"/>
      <c r="D103" s="78" t="s">
        <v>65</v>
      </c>
      <c r="E103" s="79" t="s">
        <v>333</v>
      </c>
      <c r="F103" s="79" t="s">
        <v>117</v>
      </c>
      <c r="G103" s="79" t="s">
        <v>121</v>
      </c>
      <c r="H103" s="80" t="s">
        <v>125</v>
      </c>
      <c r="I103" s="81">
        <f>I104</f>
        <v>2700000</v>
      </c>
      <c r="J103" s="81">
        <f>J104</f>
        <v>0</v>
      </c>
      <c r="K103" s="82">
        <f t="shared" si="0"/>
        <v>2700000</v>
      </c>
    </row>
    <row r="104" spans="1:11" s="83" customFormat="1" ht="33.75" customHeight="1">
      <c r="A104" s="98" t="s">
        <v>165</v>
      </c>
      <c r="B104" s="76">
        <v>1</v>
      </c>
      <c r="C104" s="77"/>
      <c r="D104" s="78" t="s">
        <v>65</v>
      </c>
      <c r="E104" s="79" t="s">
        <v>332</v>
      </c>
      <c r="F104" s="79" t="s">
        <v>119</v>
      </c>
      <c r="G104" s="79" t="s">
        <v>121</v>
      </c>
      <c r="H104" s="80" t="s">
        <v>125</v>
      </c>
      <c r="I104" s="81">
        <f>2700000</f>
        <v>2700000</v>
      </c>
      <c r="J104" s="84">
        <v>0</v>
      </c>
      <c r="K104" s="82">
        <f t="shared" si="0"/>
        <v>2700000</v>
      </c>
    </row>
    <row r="105" spans="1:11" s="83" customFormat="1" ht="33" customHeight="1">
      <c r="A105" s="98" t="s">
        <v>334</v>
      </c>
      <c r="B105" s="76">
        <v>1</v>
      </c>
      <c r="C105" s="77"/>
      <c r="D105" s="78" t="s">
        <v>63</v>
      </c>
      <c r="E105" s="79" t="s">
        <v>104</v>
      </c>
      <c r="F105" s="79" t="s">
        <v>119</v>
      </c>
      <c r="G105" s="79" t="s">
        <v>121</v>
      </c>
      <c r="H105" s="80" t="s">
        <v>126</v>
      </c>
      <c r="I105" s="81">
        <f>I106+I109</f>
        <v>500000</v>
      </c>
      <c r="J105" s="81">
        <f>J106+J109</f>
        <v>142358</v>
      </c>
      <c r="K105" s="82">
        <f t="shared" si="0"/>
        <v>357642</v>
      </c>
    </row>
    <row r="106" spans="1:11" s="83" customFormat="1" ht="33.75" customHeight="1">
      <c r="A106" s="98" t="s">
        <v>406</v>
      </c>
      <c r="B106" s="76">
        <v>1</v>
      </c>
      <c r="C106" s="77"/>
      <c r="D106" s="78" t="s">
        <v>63</v>
      </c>
      <c r="E106" s="79" t="s">
        <v>105</v>
      </c>
      <c r="F106" s="79" t="s">
        <v>119</v>
      </c>
      <c r="G106" s="79" t="s">
        <v>121</v>
      </c>
      <c r="H106" s="80" t="s">
        <v>126</v>
      </c>
      <c r="I106" s="84">
        <f>I108+I107</f>
        <v>500000</v>
      </c>
      <c r="J106" s="84">
        <f>J108+J107</f>
        <v>142358</v>
      </c>
      <c r="K106" s="82">
        <f t="shared" si="0"/>
        <v>357642</v>
      </c>
    </row>
    <row r="107" spans="1:11" s="83" customFormat="1" ht="33.75" customHeight="1">
      <c r="A107" s="98" t="s">
        <v>455</v>
      </c>
      <c r="B107" s="76"/>
      <c r="C107" s="77"/>
      <c r="D107" s="78" t="s">
        <v>456</v>
      </c>
      <c r="E107" s="79" t="s">
        <v>335</v>
      </c>
      <c r="F107" s="79" t="s">
        <v>119</v>
      </c>
      <c r="G107" s="79" t="s">
        <v>121</v>
      </c>
      <c r="H107" s="80" t="s">
        <v>126</v>
      </c>
      <c r="I107" s="81">
        <f>500000</f>
        <v>500000</v>
      </c>
      <c r="J107" s="84">
        <v>142358</v>
      </c>
      <c r="K107" s="82">
        <f t="shared" si="0"/>
        <v>357642</v>
      </c>
    </row>
    <row r="108" spans="1:11" s="83" customFormat="1" ht="44.25" customHeight="1" hidden="1">
      <c r="A108" s="98" t="s">
        <v>455</v>
      </c>
      <c r="B108" s="76">
        <v>1</v>
      </c>
      <c r="C108" s="77"/>
      <c r="D108" s="78" t="s">
        <v>65</v>
      </c>
      <c r="E108" s="79" t="s">
        <v>335</v>
      </c>
      <c r="F108" s="79" t="s">
        <v>119</v>
      </c>
      <c r="G108" s="79" t="s">
        <v>121</v>
      </c>
      <c r="H108" s="80" t="s">
        <v>126</v>
      </c>
      <c r="I108" s="81">
        <f>500000-500000</f>
        <v>0</v>
      </c>
      <c r="J108" s="84">
        <v>0</v>
      </c>
      <c r="K108" s="82">
        <f t="shared" si="0"/>
        <v>0</v>
      </c>
    </row>
    <row r="109" spans="1:11" s="83" customFormat="1" ht="23.25" customHeight="1" hidden="1">
      <c r="A109" s="98" t="s">
        <v>447</v>
      </c>
      <c r="B109" s="76">
        <v>1</v>
      </c>
      <c r="C109" s="77"/>
      <c r="D109" s="78" t="s">
        <v>65</v>
      </c>
      <c r="E109" s="79" t="s">
        <v>457</v>
      </c>
      <c r="F109" s="79" t="s">
        <v>119</v>
      </c>
      <c r="G109" s="79" t="s">
        <v>121</v>
      </c>
      <c r="H109" s="80" t="s">
        <v>126</v>
      </c>
      <c r="I109" s="84">
        <f>I110</f>
        <v>0</v>
      </c>
      <c r="J109" s="84">
        <f>J110</f>
        <v>0</v>
      </c>
      <c r="K109" s="82">
        <f>IF(ISNUMBER(I109),I109,0)-IF(ISNUMBER(J109),J109,0)</f>
        <v>0</v>
      </c>
    </row>
    <row r="110" spans="1:11" s="83" customFormat="1" ht="44.25" customHeight="1" hidden="1">
      <c r="A110" s="98" t="s">
        <v>448</v>
      </c>
      <c r="B110" s="76">
        <v>1</v>
      </c>
      <c r="C110" s="77"/>
      <c r="D110" s="78" t="s">
        <v>65</v>
      </c>
      <c r="E110" s="79" t="s">
        <v>446</v>
      </c>
      <c r="F110" s="79" t="s">
        <v>119</v>
      </c>
      <c r="G110" s="79" t="s">
        <v>121</v>
      </c>
      <c r="H110" s="80" t="s">
        <v>126</v>
      </c>
      <c r="I110" s="81">
        <f>700000-700000</f>
        <v>0</v>
      </c>
      <c r="J110" s="84">
        <v>0</v>
      </c>
      <c r="K110" s="82">
        <f>IF(ISNUMBER(I110),I110,0)-IF(ISNUMBER(J110),J110,0)</f>
        <v>0</v>
      </c>
    </row>
    <row r="111" spans="1:11" s="83" customFormat="1" ht="11.25" customHeight="1" hidden="1">
      <c r="A111" s="75" t="s">
        <v>166</v>
      </c>
      <c r="B111" s="76">
        <v>1</v>
      </c>
      <c r="C111" s="77"/>
      <c r="D111" s="78" t="s">
        <v>65</v>
      </c>
      <c r="E111" s="79" t="s">
        <v>381</v>
      </c>
      <c r="F111" s="79" t="s">
        <v>117</v>
      </c>
      <c r="G111" s="79" t="s">
        <v>121</v>
      </c>
      <c r="H111" s="80" t="s">
        <v>63</v>
      </c>
      <c r="I111" s="81">
        <f>I112</f>
        <v>0</v>
      </c>
      <c r="J111" s="81">
        <f>J112</f>
        <v>0</v>
      </c>
      <c r="K111" s="82">
        <f>IF(ISNUMBER(I111),I111,0)-IF(ISNUMBER(J111),J111,0)</f>
        <v>0</v>
      </c>
    </row>
    <row r="112" spans="1:11" s="83" customFormat="1" ht="12" customHeight="1" hidden="1">
      <c r="A112" s="98" t="s">
        <v>380</v>
      </c>
      <c r="B112" s="76">
        <v>1</v>
      </c>
      <c r="C112" s="77"/>
      <c r="D112" s="78" t="s">
        <v>65</v>
      </c>
      <c r="E112" s="79" t="s">
        <v>382</v>
      </c>
      <c r="F112" s="79" t="s">
        <v>119</v>
      </c>
      <c r="G112" s="79" t="s">
        <v>121</v>
      </c>
      <c r="H112" s="80" t="s">
        <v>383</v>
      </c>
      <c r="I112" s="81">
        <f>I113</f>
        <v>0</v>
      </c>
      <c r="J112" s="81">
        <f>J113</f>
        <v>0</v>
      </c>
      <c r="K112" s="82">
        <f>IF(ISNUMBER(I112),I112,0)-IF(ISNUMBER(J112),J112,0)</f>
        <v>0</v>
      </c>
    </row>
    <row r="113" spans="1:11" s="83" customFormat="1" ht="33.75" customHeight="1" hidden="1">
      <c r="A113" s="98" t="s">
        <v>379</v>
      </c>
      <c r="B113" s="76">
        <v>1</v>
      </c>
      <c r="C113" s="77"/>
      <c r="D113" s="78" t="s">
        <v>65</v>
      </c>
      <c r="E113" s="79" t="s">
        <v>384</v>
      </c>
      <c r="F113" s="79" t="s">
        <v>119</v>
      </c>
      <c r="G113" s="79" t="s">
        <v>121</v>
      </c>
      <c r="H113" s="80" t="s">
        <v>383</v>
      </c>
      <c r="I113" s="81">
        <f>0</f>
        <v>0</v>
      </c>
      <c r="J113" s="84">
        <v>0</v>
      </c>
      <c r="K113" s="82">
        <f>IF(ISNUMBER(I113),I113,0)-IF(ISNUMBER(J113),J113,0)</f>
        <v>0</v>
      </c>
    </row>
    <row r="114" spans="1:11" s="83" customFormat="1" ht="11.25" customHeight="1">
      <c r="A114" s="75" t="s">
        <v>166</v>
      </c>
      <c r="B114" s="76">
        <v>1</v>
      </c>
      <c r="C114" s="77"/>
      <c r="D114" s="78" t="s">
        <v>65</v>
      </c>
      <c r="E114" s="79" t="s">
        <v>106</v>
      </c>
      <c r="F114" s="79" t="s">
        <v>117</v>
      </c>
      <c r="G114" s="79" t="s">
        <v>121</v>
      </c>
      <c r="H114" s="80" t="s">
        <v>63</v>
      </c>
      <c r="I114" s="81">
        <f>I115+I117</f>
        <v>20000</v>
      </c>
      <c r="J114" s="81">
        <f>J115+J117</f>
        <v>1079.71</v>
      </c>
      <c r="K114" s="82">
        <f t="shared" si="0"/>
        <v>18920.29</v>
      </c>
    </row>
    <row r="115" spans="1:11" s="83" customFormat="1" ht="12" customHeight="1">
      <c r="A115" s="98" t="s">
        <v>338</v>
      </c>
      <c r="B115" s="76">
        <v>1</v>
      </c>
      <c r="C115" s="77"/>
      <c r="D115" s="78" t="s">
        <v>65</v>
      </c>
      <c r="E115" s="79" t="s">
        <v>336</v>
      </c>
      <c r="F115" s="79" t="s">
        <v>117</v>
      </c>
      <c r="G115" s="79" t="s">
        <v>121</v>
      </c>
      <c r="H115" s="80" t="s">
        <v>127</v>
      </c>
      <c r="I115" s="81">
        <f>I116</f>
        <v>0</v>
      </c>
      <c r="J115" s="81">
        <f>J116</f>
        <v>-552.29</v>
      </c>
      <c r="K115" s="82">
        <f>IF(ISNUMBER(I115),I115,0)-IF(ISNUMBER(J115),J115,0)</f>
        <v>552.29</v>
      </c>
    </row>
    <row r="116" spans="1:11" s="83" customFormat="1" ht="12" customHeight="1">
      <c r="A116" s="98" t="s">
        <v>339</v>
      </c>
      <c r="B116" s="76">
        <v>1</v>
      </c>
      <c r="C116" s="77"/>
      <c r="D116" s="78" t="s">
        <v>65</v>
      </c>
      <c r="E116" s="79" t="s">
        <v>337</v>
      </c>
      <c r="F116" s="79" t="s">
        <v>119</v>
      </c>
      <c r="G116" s="79" t="s">
        <v>121</v>
      </c>
      <c r="H116" s="80" t="s">
        <v>127</v>
      </c>
      <c r="I116" s="81">
        <v>0</v>
      </c>
      <c r="J116" s="84">
        <v>-552.29</v>
      </c>
      <c r="K116" s="82">
        <f>IF(ISNUMBER(I116),I116,0)-IF(ISNUMBER(J116),J116,0)</f>
        <v>552.29</v>
      </c>
    </row>
    <row r="117" spans="1:11" s="83" customFormat="1" ht="10.5" customHeight="1">
      <c r="A117" s="98" t="s">
        <v>167</v>
      </c>
      <c r="B117" s="76">
        <v>1</v>
      </c>
      <c r="C117" s="77"/>
      <c r="D117" s="78" t="s">
        <v>65</v>
      </c>
      <c r="E117" s="79" t="s">
        <v>107</v>
      </c>
      <c r="F117" s="79" t="s">
        <v>117</v>
      </c>
      <c r="G117" s="79" t="s">
        <v>121</v>
      </c>
      <c r="H117" s="80" t="s">
        <v>127</v>
      </c>
      <c r="I117" s="81">
        <f>I118</f>
        <v>20000</v>
      </c>
      <c r="J117" s="81">
        <f>J118</f>
        <v>1632</v>
      </c>
      <c r="K117" s="82">
        <f t="shared" si="0"/>
        <v>18368</v>
      </c>
    </row>
    <row r="118" spans="1:11" s="83" customFormat="1" ht="11.25" customHeight="1">
      <c r="A118" s="98" t="s">
        <v>168</v>
      </c>
      <c r="B118" s="76">
        <v>1</v>
      </c>
      <c r="C118" s="77"/>
      <c r="D118" s="78" t="s">
        <v>65</v>
      </c>
      <c r="E118" s="79" t="s">
        <v>108</v>
      </c>
      <c r="F118" s="79" t="s">
        <v>119</v>
      </c>
      <c r="G118" s="79" t="s">
        <v>121</v>
      </c>
      <c r="H118" s="80" t="s">
        <v>127</v>
      </c>
      <c r="I118" s="81">
        <f>20000</f>
        <v>20000</v>
      </c>
      <c r="J118" s="84">
        <v>1632</v>
      </c>
      <c r="K118" s="82">
        <f t="shared" si="0"/>
        <v>18368</v>
      </c>
    </row>
    <row r="119" spans="1:11" s="83" customFormat="1" ht="10.5" customHeight="1">
      <c r="A119" s="75" t="s">
        <v>169</v>
      </c>
      <c r="B119" s="76">
        <v>1</v>
      </c>
      <c r="C119" s="77"/>
      <c r="D119" s="78" t="s">
        <v>63</v>
      </c>
      <c r="E119" s="79" t="s">
        <v>109</v>
      </c>
      <c r="F119" s="79" t="s">
        <v>117</v>
      </c>
      <c r="G119" s="79" t="s">
        <v>121</v>
      </c>
      <c r="H119" s="80" t="s">
        <v>63</v>
      </c>
      <c r="I119" s="81">
        <f>I120+I133+I135</f>
        <v>29893212.43</v>
      </c>
      <c r="J119" s="81">
        <f>J120+J133+J138+J135</f>
        <v>19894787.43</v>
      </c>
      <c r="K119" s="82">
        <f t="shared" si="0"/>
        <v>9998425</v>
      </c>
    </row>
    <row r="120" spans="1:11" s="83" customFormat="1" ht="34.5" customHeight="1">
      <c r="A120" s="98" t="s">
        <v>170</v>
      </c>
      <c r="B120" s="76">
        <v>1</v>
      </c>
      <c r="C120" s="77"/>
      <c r="D120" s="78" t="s">
        <v>63</v>
      </c>
      <c r="E120" s="79" t="s">
        <v>110</v>
      </c>
      <c r="F120" s="79" t="s">
        <v>117</v>
      </c>
      <c r="G120" s="79" t="s">
        <v>121</v>
      </c>
      <c r="H120" s="80" t="s">
        <v>63</v>
      </c>
      <c r="I120" s="81">
        <f>I121+I126+I128+I124</f>
        <v>28066258</v>
      </c>
      <c r="J120" s="81">
        <f>J121+J126+J128+J124</f>
        <v>18167833</v>
      </c>
      <c r="K120" s="82">
        <f t="shared" si="0"/>
        <v>9898425</v>
      </c>
    </row>
    <row r="121" spans="1:11" s="83" customFormat="1" ht="22.5" customHeight="1">
      <c r="A121" s="98" t="s">
        <v>171</v>
      </c>
      <c r="B121" s="76">
        <v>1</v>
      </c>
      <c r="C121" s="77"/>
      <c r="D121" s="78" t="s">
        <v>66</v>
      </c>
      <c r="E121" s="79" t="s">
        <v>111</v>
      </c>
      <c r="F121" s="79" t="s">
        <v>117</v>
      </c>
      <c r="G121" s="79" t="s">
        <v>121</v>
      </c>
      <c r="H121" s="80" t="s">
        <v>128</v>
      </c>
      <c r="I121" s="81">
        <f>I122</f>
        <v>24480675</v>
      </c>
      <c r="J121" s="81">
        <f>J122</f>
        <v>18000095</v>
      </c>
      <c r="K121" s="82">
        <f t="shared" si="0"/>
        <v>6480580</v>
      </c>
    </row>
    <row r="122" spans="1:11" s="83" customFormat="1" ht="22.5" customHeight="1">
      <c r="A122" s="98" t="s">
        <v>172</v>
      </c>
      <c r="B122" s="76">
        <v>1</v>
      </c>
      <c r="C122" s="77"/>
      <c r="D122" s="78" t="s">
        <v>66</v>
      </c>
      <c r="E122" s="79" t="s">
        <v>112</v>
      </c>
      <c r="F122" s="79" t="s">
        <v>117</v>
      </c>
      <c r="G122" s="79" t="s">
        <v>121</v>
      </c>
      <c r="H122" s="80" t="s">
        <v>128</v>
      </c>
      <c r="I122" s="81">
        <f>I123</f>
        <v>24480675</v>
      </c>
      <c r="J122" s="81">
        <f>J123</f>
        <v>18000095</v>
      </c>
      <c r="K122" s="82">
        <f t="shared" si="0"/>
        <v>6480580</v>
      </c>
    </row>
    <row r="123" spans="1:11" s="83" customFormat="1" ht="21.75" customHeight="1">
      <c r="A123" s="98" t="s">
        <v>173</v>
      </c>
      <c r="B123" s="76">
        <v>1</v>
      </c>
      <c r="C123" s="77"/>
      <c r="D123" s="78" t="s">
        <v>66</v>
      </c>
      <c r="E123" s="79" t="s">
        <v>112</v>
      </c>
      <c r="F123" s="79" t="s">
        <v>119</v>
      </c>
      <c r="G123" s="79" t="s">
        <v>472</v>
      </c>
      <c r="H123" s="80" t="s">
        <v>128</v>
      </c>
      <c r="I123" s="81">
        <f>24480675</f>
        <v>24480675</v>
      </c>
      <c r="J123" s="84">
        <v>18000095</v>
      </c>
      <c r="K123" s="82">
        <f t="shared" si="0"/>
        <v>6480580</v>
      </c>
    </row>
    <row r="124" spans="1:11" s="83" customFormat="1" ht="22.5" customHeight="1" hidden="1">
      <c r="A124" s="98" t="s">
        <v>173</v>
      </c>
      <c r="B124" s="76">
        <v>1</v>
      </c>
      <c r="C124" s="77"/>
      <c r="D124" s="78" t="s">
        <v>65</v>
      </c>
      <c r="E124" s="79" t="s">
        <v>407</v>
      </c>
      <c r="F124" s="79" t="s">
        <v>119</v>
      </c>
      <c r="G124" s="79" t="s">
        <v>121</v>
      </c>
      <c r="H124" s="80" t="s">
        <v>128</v>
      </c>
      <c r="I124" s="84">
        <f>I125</f>
        <v>3004251</v>
      </c>
      <c r="J124" s="84">
        <f>J125</f>
        <v>0</v>
      </c>
      <c r="K124" s="82">
        <f>IF(ISNUMBER(I124),I124,0)-IF(ISNUMBER(J124),J124,0)</f>
        <v>3004251</v>
      </c>
    </row>
    <row r="125" spans="1:11" s="83" customFormat="1" ht="45" customHeight="1">
      <c r="A125" s="98" t="s">
        <v>410</v>
      </c>
      <c r="B125" s="76">
        <v>1</v>
      </c>
      <c r="C125" s="77"/>
      <c r="D125" s="78" t="s">
        <v>65</v>
      </c>
      <c r="E125" s="79" t="s">
        <v>408</v>
      </c>
      <c r="F125" s="79" t="s">
        <v>119</v>
      </c>
      <c r="G125" s="79" t="s">
        <v>409</v>
      </c>
      <c r="H125" s="80" t="s">
        <v>128</v>
      </c>
      <c r="I125" s="81">
        <v>3004251</v>
      </c>
      <c r="J125" s="84">
        <v>0</v>
      </c>
      <c r="K125" s="82">
        <f>IF(ISNUMBER(I125),I125,0)-IF(ISNUMBER(J125),J125,0)</f>
        <v>3004251</v>
      </c>
    </row>
    <row r="126" spans="1:11" s="83" customFormat="1" ht="33.75" customHeight="1">
      <c r="A126" s="98" t="s">
        <v>174</v>
      </c>
      <c r="B126" s="76">
        <v>1</v>
      </c>
      <c r="C126" s="77"/>
      <c r="D126" s="78" t="s">
        <v>65</v>
      </c>
      <c r="E126" s="79" t="s">
        <v>113</v>
      </c>
      <c r="F126" s="79" t="s">
        <v>119</v>
      </c>
      <c r="G126" s="79" t="s">
        <v>121</v>
      </c>
      <c r="H126" s="80" t="s">
        <v>128</v>
      </c>
      <c r="I126" s="84">
        <f>I127</f>
        <v>425092</v>
      </c>
      <c r="J126" s="84">
        <f>J127</f>
        <v>141698</v>
      </c>
      <c r="K126" s="82">
        <f t="shared" si="0"/>
        <v>283394</v>
      </c>
    </row>
    <row r="127" spans="1:11" s="83" customFormat="1" ht="33.75" customHeight="1">
      <c r="A127" s="98" t="s">
        <v>175</v>
      </c>
      <c r="B127" s="76">
        <v>1</v>
      </c>
      <c r="C127" s="77"/>
      <c r="D127" s="78" t="s">
        <v>65</v>
      </c>
      <c r="E127" s="79" t="s">
        <v>114</v>
      </c>
      <c r="F127" s="79" t="s">
        <v>119</v>
      </c>
      <c r="G127" s="79" t="s">
        <v>121</v>
      </c>
      <c r="H127" s="80" t="s">
        <v>128</v>
      </c>
      <c r="I127" s="81">
        <f>425092</f>
        <v>425092</v>
      </c>
      <c r="J127" s="84">
        <v>141698</v>
      </c>
      <c r="K127" s="82">
        <f t="shared" si="0"/>
        <v>283394</v>
      </c>
    </row>
    <row r="128" spans="1:11" s="83" customFormat="1" ht="22.5" customHeight="1">
      <c r="A128" s="47" t="s">
        <v>388</v>
      </c>
      <c r="B128" s="76">
        <v>1</v>
      </c>
      <c r="C128" s="77"/>
      <c r="D128" s="78" t="s">
        <v>65</v>
      </c>
      <c r="E128" s="79" t="s">
        <v>387</v>
      </c>
      <c r="F128" s="79" t="s">
        <v>117</v>
      </c>
      <c r="G128" s="79" t="s">
        <v>121</v>
      </c>
      <c r="H128" s="80" t="s">
        <v>128</v>
      </c>
      <c r="I128" s="84">
        <f>I130+I129</f>
        <v>156240</v>
      </c>
      <c r="J128" s="84">
        <f>J130+J129</f>
        <v>26040</v>
      </c>
      <c r="K128" s="82">
        <f aca="true" t="shared" si="2" ref="K128:K142">IF(ISNUMBER(I128),I128,0)-IF(ISNUMBER(J128),J128,0)</f>
        <v>130200</v>
      </c>
    </row>
    <row r="129" spans="1:11" s="83" customFormat="1" ht="67.5" customHeight="1" hidden="1">
      <c r="A129" s="47" t="s">
        <v>403</v>
      </c>
      <c r="B129" s="76">
        <v>1</v>
      </c>
      <c r="C129" s="77"/>
      <c r="D129" s="78" t="s">
        <v>65</v>
      </c>
      <c r="E129" s="79" t="s">
        <v>402</v>
      </c>
      <c r="F129" s="79" t="s">
        <v>119</v>
      </c>
      <c r="G129" s="79" t="s">
        <v>121</v>
      </c>
      <c r="H129" s="80" t="s">
        <v>128</v>
      </c>
      <c r="I129" s="84">
        <f>0</f>
        <v>0</v>
      </c>
      <c r="J129" s="84">
        <v>0</v>
      </c>
      <c r="K129" s="82">
        <f>IF(ISNUMBER(I129),I129,0)-IF(ISNUMBER(J129),J129,0)</f>
        <v>0</v>
      </c>
    </row>
    <row r="130" spans="1:11" s="83" customFormat="1" ht="45" customHeight="1">
      <c r="A130" s="47" t="s">
        <v>389</v>
      </c>
      <c r="B130" s="76">
        <v>1</v>
      </c>
      <c r="C130" s="77"/>
      <c r="D130" s="78" t="s">
        <v>65</v>
      </c>
      <c r="E130" s="79" t="s">
        <v>386</v>
      </c>
      <c r="F130" s="79" t="s">
        <v>117</v>
      </c>
      <c r="G130" s="79" t="s">
        <v>121</v>
      </c>
      <c r="H130" s="80" t="s">
        <v>128</v>
      </c>
      <c r="I130" s="84">
        <f>I132+I131</f>
        <v>156240</v>
      </c>
      <c r="J130" s="84">
        <f>J132+J131</f>
        <v>26040</v>
      </c>
      <c r="K130" s="82">
        <f t="shared" si="2"/>
        <v>130200</v>
      </c>
    </row>
    <row r="131" spans="1:11" s="83" customFormat="1" ht="45" customHeight="1" hidden="1">
      <c r="A131" s="47" t="s">
        <v>432</v>
      </c>
      <c r="B131" s="76"/>
      <c r="C131" s="77"/>
      <c r="D131" s="78" t="s">
        <v>65</v>
      </c>
      <c r="E131" s="79" t="s">
        <v>386</v>
      </c>
      <c r="F131" s="79" t="s">
        <v>119</v>
      </c>
      <c r="G131" s="79" t="s">
        <v>431</v>
      </c>
      <c r="H131" s="80" t="s">
        <v>128</v>
      </c>
      <c r="I131" s="81">
        <f>0</f>
        <v>0</v>
      </c>
      <c r="J131" s="84">
        <v>0</v>
      </c>
      <c r="K131" s="82">
        <f t="shared" si="2"/>
        <v>0</v>
      </c>
    </row>
    <row r="132" spans="1:11" s="83" customFormat="1" ht="12" customHeight="1">
      <c r="A132" s="47" t="s">
        <v>390</v>
      </c>
      <c r="B132" s="76">
        <v>1</v>
      </c>
      <c r="C132" s="77"/>
      <c r="D132" s="78" t="s">
        <v>65</v>
      </c>
      <c r="E132" s="79" t="s">
        <v>386</v>
      </c>
      <c r="F132" s="79" t="s">
        <v>119</v>
      </c>
      <c r="G132" s="79" t="s">
        <v>449</v>
      </c>
      <c r="H132" s="80" t="s">
        <v>128</v>
      </c>
      <c r="I132" s="81">
        <f>156240</f>
        <v>156240</v>
      </c>
      <c r="J132" s="84">
        <v>26040</v>
      </c>
      <c r="K132" s="82">
        <f t="shared" si="2"/>
        <v>130200</v>
      </c>
    </row>
    <row r="133" spans="1:11" s="83" customFormat="1" ht="11.25" customHeight="1">
      <c r="A133" s="75" t="s">
        <v>176</v>
      </c>
      <c r="B133" s="76">
        <v>1</v>
      </c>
      <c r="C133" s="77"/>
      <c r="D133" s="78" t="s">
        <v>65</v>
      </c>
      <c r="E133" s="79" t="s">
        <v>115</v>
      </c>
      <c r="F133" s="79" t="s">
        <v>117</v>
      </c>
      <c r="G133" s="79" t="s">
        <v>121</v>
      </c>
      <c r="H133" s="80" t="s">
        <v>63</v>
      </c>
      <c r="I133" s="81">
        <f>I134</f>
        <v>100000</v>
      </c>
      <c r="J133" s="81">
        <f>J134</f>
        <v>0</v>
      </c>
      <c r="K133" s="82">
        <f t="shared" si="2"/>
        <v>100000</v>
      </c>
    </row>
    <row r="134" spans="1:11" s="83" customFormat="1" ht="12" customHeight="1">
      <c r="A134" s="98" t="s">
        <v>177</v>
      </c>
      <c r="B134" s="76">
        <v>1</v>
      </c>
      <c r="C134" s="77"/>
      <c r="D134" s="78" t="s">
        <v>65</v>
      </c>
      <c r="E134" s="79" t="s">
        <v>116</v>
      </c>
      <c r="F134" s="79" t="s">
        <v>119</v>
      </c>
      <c r="G134" s="79" t="s">
        <v>121</v>
      </c>
      <c r="H134" s="80" t="s">
        <v>127</v>
      </c>
      <c r="I134" s="81">
        <f>100000</f>
        <v>100000</v>
      </c>
      <c r="J134" s="84">
        <v>0</v>
      </c>
      <c r="K134" s="82">
        <f t="shared" si="2"/>
        <v>100000</v>
      </c>
    </row>
    <row r="135" spans="1:11" s="83" customFormat="1" ht="34.5" customHeight="1">
      <c r="A135" s="98" t="s">
        <v>437</v>
      </c>
      <c r="B135" s="76"/>
      <c r="C135" s="77"/>
      <c r="D135" s="78" t="s">
        <v>65</v>
      </c>
      <c r="E135" s="79" t="s">
        <v>435</v>
      </c>
      <c r="F135" s="79" t="s">
        <v>117</v>
      </c>
      <c r="G135" s="79" t="s">
        <v>121</v>
      </c>
      <c r="H135" s="80" t="s">
        <v>63</v>
      </c>
      <c r="I135" s="81">
        <f>I136</f>
        <v>1726954.4300000002</v>
      </c>
      <c r="J135" s="81">
        <f>J136</f>
        <v>1726954.43</v>
      </c>
      <c r="K135" s="82">
        <f t="shared" si="2"/>
        <v>0</v>
      </c>
    </row>
    <row r="136" spans="1:11" s="83" customFormat="1" ht="21.75" customHeight="1">
      <c r="A136" s="98" t="s">
        <v>438</v>
      </c>
      <c r="B136" s="76"/>
      <c r="C136" s="77"/>
      <c r="D136" s="78" t="s">
        <v>65</v>
      </c>
      <c r="E136" s="79" t="s">
        <v>436</v>
      </c>
      <c r="F136" s="79" t="s">
        <v>119</v>
      </c>
      <c r="G136" s="79" t="s">
        <v>121</v>
      </c>
      <c r="H136" s="80" t="s">
        <v>63</v>
      </c>
      <c r="I136" s="81">
        <f>I137</f>
        <v>1726954.4300000002</v>
      </c>
      <c r="J136" s="81">
        <f>J137</f>
        <v>1726954.43</v>
      </c>
      <c r="K136" s="82">
        <f t="shared" si="2"/>
        <v>0</v>
      </c>
    </row>
    <row r="137" spans="1:11" s="83" customFormat="1" ht="22.5" customHeight="1">
      <c r="A137" s="98" t="s">
        <v>434</v>
      </c>
      <c r="B137" s="76"/>
      <c r="C137" s="77"/>
      <c r="D137" s="78" t="s">
        <v>65</v>
      </c>
      <c r="E137" s="79" t="s">
        <v>433</v>
      </c>
      <c r="F137" s="79" t="s">
        <v>119</v>
      </c>
      <c r="G137" s="79" t="s">
        <v>121</v>
      </c>
      <c r="H137" s="80" t="s">
        <v>127</v>
      </c>
      <c r="I137" s="81">
        <f>523597+703357.43+500000</f>
        <v>1726954.4300000002</v>
      </c>
      <c r="J137" s="81">
        <v>1726954.43</v>
      </c>
      <c r="K137" s="82">
        <f t="shared" si="2"/>
        <v>0</v>
      </c>
    </row>
    <row r="138" spans="1:11" s="83" customFormat="1" ht="12.75" customHeight="1" hidden="1">
      <c r="A138" s="75" t="s">
        <v>345</v>
      </c>
      <c r="B138" s="76">
        <v>1</v>
      </c>
      <c r="C138" s="77"/>
      <c r="D138" s="78" t="s">
        <v>65</v>
      </c>
      <c r="E138" s="79" t="s">
        <v>342</v>
      </c>
      <c r="F138" s="79" t="s">
        <v>117</v>
      </c>
      <c r="G138" s="79" t="s">
        <v>121</v>
      </c>
      <c r="H138" s="80" t="s">
        <v>63</v>
      </c>
      <c r="I138" s="81">
        <f>I139</f>
        <v>0</v>
      </c>
      <c r="J138" s="81">
        <f>J139</f>
        <v>0</v>
      </c>
      <c r="K138" s="82">
        <f t="shared" si="2"/>
        <v>0</v>
      </c>
    </row>
    <row r="139" spans="1:11" s="83" customFormat="1" ht="11.25" customHeight="1" hidden="1">
      <c r="A139" s="98" t="s">
        <v>344</v>
      </c>
      <c r="B139" s="76">
        <v>1</v>
      </c>
      <c r="C139" s="77"/>
      <c r="D139" s="78" t="s">
        <v>65</v>
      </c>
      <c r="E139" s="79" t="s">
        <v>340</v>
      </c>
      <c r="F139" s="79" t="s">
        <v>119</v>
      </c>
      <c r="G139" s="79" t="s">
        <v>121</v>
      </c>
      <c r="H139" s="80" t="s">
        <v>63</v>
      </c>
      <c r="I139" s="81">
        <f>I142+I140+I141</f>
        <v>0</v>
      </c>
      <c r="J139" s="81">
        <f>J142+J140+J141</f>
        <v>0</v>
      </c>
      <c r="K139" s="82">
        <f t="shared" si="2"/>
        <v>0</v>
      </c>
    </row>
    <row r="140" spans="1:11" s="83" customFormat="1" ht="33.75" customHeight="1" hidden="1">
      <c r="A140" s="98" t="s">
        <v>396</v>
      </c>
      <c r="B140" s="76">
        <v>1</v>
      </c>
      <c r="C140" s="77"/>
      <c r="D140" s="78" t="s">
        <v>65</v>
      </c>
      <c r="E140" s="79" t="s">
        <v>340</v>
      </c>
      <c r="F140" s="79" t="s">
        <v>119</v>
      </c>
      <c r="G140" s="79" t="s">
        <v>385</v>
      </c>
      <c r="H140" s="80" t="s">
        <v>128</v>
      </c>
      <c r="I140" s="81">
        <f>0</f>
        <v>0</v>
      </c>
      <c r="J140" s="84">
        <v>0</v>
      </c>
      <c r="K140" s="82">
        <f t="shared" si="2"/>
        <v>0</v>
      </c>
    </row>
    <row r="141" spans="1:11" s="83" customFormat="1" ht="45" customHeight="1" hidden="1">
      <c r="A141" s="98" t="s">
        <v>400</v>
      </c>
      <c r="B141" s="76">
        <v>1</v>
      </c>
      <c r="C141" s="77"/>
      <c r="D141" s="78" t="s">
        <v>65</v>
      </c>
      <c r="E141" s="79" t="s">
        <v>340</v>
      </c>
      <c r="F141" s="79" t="s">
        <v>119</v>
      </c>
      <c r="G141" s="79" t="s">
        <v>401</v>
      </c>
      <c r="H141" s="80" t="s">
        <v>128</v>
      </c>
      <c r="I141" s="81">
        <f>0</f>
        <v>0</v>
      </c>
      <c r="J141" s="84">
        <v>0</v>
      </c>
      <c r="K141" s="82">
        <f>IF(ISNUMBER(I141),I141,0)-IF(ISNUMBER(J141),J141,0)</f>
        <v>0</v>
      </c>
    </row>
    <row r="142" spans="1:11" s="83" customFormat="1" ht="33.75" customHeight="1" hidden="1">
      <c r="A142" s="98" t="s">
        <v>343</v>
      </c>
      <c r="B142" s="76">
        <v>1</v>
      </c>
      <c r="C142" s="77"/>
      <c r="D142" s="78" t="s">
        <v>65</v>
      </c>
      <c r="E142" s="79" t="s">
        <v>340</v>
      </c>
      <c r="F142" s="79" t="s">
        <v>119</v>
      </c>
      <c r="G142" s="79" t="s">
        <v>341</v>
      </c>
      <c r="H142" s="80" t="s">
        <v>128</v>
      </c>
      <c r="I142" s="81">
        <f>0</f>
        <v>0</v>
      </c>
      <c r="J142" s="84">
        <v>0</v>
      </c>
      <c r="K142" s="82">
        <f t="shared" si="2"/>
        <v>0</v>
      </c>
    </row>
    <row r="143" spans="1:11" s="83" customFormat="1" ht="12.75" customHeight="1">
      <c r="A143" s="76"/>
      <c r="B143" s="76"/>
      <c r="C143" s="85"/>
      <c r="D143" s="86"/>
      <c r="E143" s="86"/>
      <c r="F143" s="86"/>
      <c r="G143" s="86"/>
      <c r="H143" s="86"/>
      <c r="I143" s="86"/>
      <c r="J143" s="86"/>
      <c r="K143" s="86"/>
    </row>
    <row r="144" spans="1:11" s="83" customFormat="1" ht="12.75" customHeight="1">
      <c r="A144" s="76"/>
      <c r="B144" s="76"/>
      <c r="C144" s="85"/>
      <c r="D144" s="86"/>
      <c r="E144" s="86"/>
      <c r="F144" s="86"/>
      <c r="G144" s="86"/>
      <c r="H144" s="86"/>
      <c r="I144" s="86"/>
      <c r="J144" s="86"/>
      <c r="K144" s="86"/>
    </row>
    <row r="145" spans="1:11" s="83" customFormat="1" ht="12.75" customHeight="1">
      <c r="A145" s="76"/>
      <c r="B145" s="76"/>
      <c r="C145" s="85"/>
      <c r="D145" s="86"/>
      <c r="E145" s="86"/>
      <c r="F145" s="86"/>
      <c r="G145" s="86"/>
      <c r="H145" s="86"/>
      <c r="I145" s="86"/>
      <c r="J145" s="86"/>
      <c r="K145" s="86"/>
    </row>
    <row r="146" spans="1:11" s="83" customFormat="1" ht="22.5" customHeight="1">
      <c r="A146" s="76"/>
      <c r="B146" s="76"/>
      <c r="C146" s="85"/>
      <c r="D146" s="86"/>
      <c r="E146" s="86"/>
      <c r="F146" s="86"/>
      <c r="G146" s="86"/>
      <c r="H146" s="86"/>
      <c r="I146" s="86"/>
      <c r="J146" s="86"/>
      <c r="K146" s="86"/>
    </row>
    <row r="147" spans="1:10" s="83" customFormat="1" ht="11.25" customHeight="1">
      <c r="A147" s="87"/>
      <c r="B147" s="87"/>
      <c r="C147" s="87"/>
      <c r="D147" s="88"/>
      <c r="E147" s="88"/>
      <c r="F147" s="88"/>
      <c r="G147" s="88"/>
      <c r="H147" s="88"/>
      <c r="I147" s="89"/>
      <c r="J147" s="90"/>
    </row>
    <row r="148" spans="1:10" s="83" customFormat="1" ht="11.25" customHeight="1">
      <c r="A148" s="87"/>
      <c r="B148" s="87"/>
      <c r="C148" s="87"/>
      <c r="D148" s="88"/>
      <c r="E148" s="88"/>
      <c r="F148" s="88"/>
      <c r="G148" s="88"/>
      <c r="H148" s="88"/>
      <c r="I148" s="89"/>
      <c r="J148" s="90"/>
    </row>
    <row r="149" spans="1:10" s="83" customFormat="1" ht="11.25" customHeight="1">
      <c r="A149" s="87"/>
      <c r="B149" s="87"/>
      <c r="C149" s="87"/>
      <c r="D149" s="88"/>
      <c r="E149" s="88"/>
      <c r="F149" s="88"/>
      <c r="G149" s="88"/>
      <c r="H149" s="88"/>
      <c r="I149" s="89"/>
      <c r="J149" s="90"/>
    </row>
    <row r="150" spans="1:10" s="83" customFormat="1" ht="11.25" customHeight="1">
      <c r="A150" s="87"/>
      <c r="B150" s="87"/>
      <c r="C150" s="87"/>
      <c r="D150" s="88"/>
      <c r="E150" s="88"/>
      <c r="F150" s="88"/>
      <c r="G150" s="88"/>
      <c r="H150" s="88"/>
      <c r="I150" s="89"/>
      <c r="J150" s="90"/>
    </row>
    <row r="151" spans="1:10" s="83" customFormat="1" ht="11.25" customHeight="1">
      <c r="A151" s="87"/>
      <c r="B151" s="87"/>
      <c r="C151" s="87"/>
      <c r="D151" s="88"/>
      <c r="E151" s="88"/>
      <c r="F151" s="88"/>
      <c r="G151" s="88"/>
      <c r="H151" s="88"/>
      <c r="I151" s="89"/>
      <c r="J151" s="90"/>
    </row>
    <row r="152" spans="1:10" s="83" customFormat="1" ht="11.25" customHeight="1">
      <c r="A152" s="87"/>
      <c r="B152" s="87"/>
      <c r="C152" s="87"/>
      <c r="D152" s="88"/>
      <c r="E152" s="88"/>
      <c r="F152" s="88"/>
      <c r="G152" s="88"/>
      <c r="H152" s="88"/>
      <c r="I152" s="89"/>
      <c r="J152" s="90"/>
    </row>
    <row r="153" spans="1:10" s="83" customFormat="1" ht="11.25" customHeight="1">
      <c r="A153" s="87"/>
      <c r="B153" s="87"/>
      <c r="C153" s="87"/>
      <c r="D153" s="88"/>
      <c r="E153" s="88"/>
      <c r="F153" s="88"/>
      <c r="G153" s="88"/>
      <c r="H153" s="88"/>
      <c r="I153" s="89"/>
      <c r="J153" s="90"/>
    </row>
    <row r="154" spans="1:10" s="83" customFormat="1" ht="11.25" customHeight="1">
      <c r="A154" s="87"/>
      <c r="B154" s="87"/>
      <c r="C154" s="87"/>
      <c r="D154" s="88"/>
      <c r="E154" s="88"/>
      <c r="F154" s="88"/>
      <c r="G154" s="88"/>
      <c r="H154" s="88"/>
      <c r="I154" s="89"/>
      <c r="J154" s="90"/>
    </row>
    <row r="155" spans="1:9" ht="11.25" customHeight="1">
      <c r="A155" s="11"/>
      <c r="B155" s="11"/>
      <c r="C155" s="11"/>
      <c r="D155" s="22"/>
      <c r="E155" s="22"/>
      <c r="F155" s="22"/>
      <c r="G155" s="22"/>
      <c r="H155" s="22"/>
      <c r="I155" s="38"/>
    </row>
    <row r="156" spans="1:9" ht="11.25" customHeight="1">
      <c r="A156" s="11"/>
      <c r="B156" s="11"/>
      <c r="C156" s="11"/>
      <c r="D156" s="22"/>
      <c r="E156" s="22"/>
      <c r="F156" s="22"/>
      <c r="G156" s="22"/>
      <c r="H156" s="22"/>
      <c r="I156" s="38"/>
    </row>
    <row r="157" spans="1:9" ht="11.25" customHeight="1">
      <c r="A157" s="11"/>
      <c r="B157" s="11"/>
      <c r="C157" s="11"/>
      <c r="D157" s="22"/>
      <c r="E157" s="22"/>
      <c r="F157" s="22"/>
      <c r="G157" s="22"/>
      <c r="H157" s="22"/>
      <c r="I157" s="38"/>
    </row>
    <row r="158" spans="1:9" ht="11.25" customHeight="1">
      <c r="A158" s="11"/>
      <c r="B158" s="11"/>
      <c r="C158" s="11"/>
      <c r="D158" s="22"/>
      <c r="E158" s="22"/>
      <c r="F158" s="22"/>
      <c r="G158" s="22"/>
      <c r="H158" s="22"/>
      <c r="I158" s="38"/>
    </row>
    <row r="159" spans="1:9" ht="11.25" customHeight="1">
      <c r="A159" s="11"/>
      <c r="B159" s="11"/>
      <c r="C159" s="11"/>
      <c r="D159" s="22"/>
      <c r="E159" s="22"/>
      <c r="F159" s="22"/>
      <c r="G159" s="22"/>
      <c r="H159" s="22"/>
      <c r="I159" s="38"/>
    </row>
    <row r="160" spans="1:9" ht="11.25" customHeight="1">
      <c r="A160" s="11"/>
      <c r="B160" s="11"/>
      <c r="C160" s="11"/>
      <c r="D160" s="22"/>
      <c r="E160" s="22"/>
      <c r="F160" s="22"/>
      <c r="G160" s="22"/>
      <c r="H160" s="22"/>
      <c r="I160" s="38"/>
    </row>
    <row r="161" spans="1:9" ht="11.25" customHeight="1">
      <c r="A161" s="11"/>
      <c r="B161" s="11"/>
      <c r="C161" s="11"/>
      <c r="D161" s="22"/>
      <c r="E161" s="22"/>
      <c r="F161" s="22"/>
      <c r="G161" s="22"/>
      <c r="H161" s="22"/>
      <c r="I161" s="38"/>
    </row>
    <row r="162" spans="1:9" ht="11.25" customHeight="1">
      <c r="A162" s="11"/>
      <c r="B162" s="11"/>
      <c r="C162" s="11"/>
      <c r="D162" s="22"/>
      <c r="E162" s="22"/>
      <c r="F162" s="22"/>
      <c r="G162" s="22"/>
      <c r="H162" s="22"/>
      <c r="I162" s="38"/>
    </row>
    <row r="163" spans="1:9" ht="11.25" customHeight="1">
      <c r="A163" s="11"/>
      <c r="B163" s="11"/>
      <c r="C163" s="11"/>
      <c r="D163" s="22"/>
      <c r="E163" s="22"/>
      <c r="F163" s="22"/>
      <c r="G163" s="22"/>
      <c r="H163" s="22"/>
      <c r="I163" s="38"/>
    </row>
    <row r="164" spans="1:9" ht="11.25" customHeight="1">
      <c r="A164" s="11"/>
      <c r="B164" s="11"/>
      <c r="C164" s="11"/>
      <c r="D164" s="22"/>
      <c r="E164" s="22"/>
      <c r="F164" s="22"/>
      <c r="G164" s="22"/>
      <c r="H164" s="22"/>
      <c r="I164" s="38"/>
    </row>
    <row r="165" spans="1:9" ht="11.25" customHeight="1">
      <c r="A165" s="11"/>
      <c r="B165" s="11"/>
      <c r="C165" s="11"/>
      <c r="D165" s="22"/>
      <c r="E165" s="22"/>
      <c r="F165" s="22"/>
      <c r="G165" s="22"/>
      <c r="H165" s="22"/>
      <c r="I165" s="38"/>
    </row>
    <row r="166" spans="1:9" ht="11.25" customHeight="1">
      <c r="A166" s="11"/>
      <c r="B166" s="11"/>
      <c r="C166" s="11"/>
      <c r="D166" s="22"/>
      <c r="E166" s="22"/>
      <c r="F166" s="22"/>
      <c r="G166" s="22"/>
      <c r="H166" s="22"/>
      <c r="I166" s="38"/>
    </row>
    <row r="167" spans="1:2" ht="23.25" customHeight="1">
      <c r="A167" s="11"/>
      <c r="B167" s="11"/>
    </row>
    <row r="168" ht="9.75" customHeight="1"/>
    <row r="169" spans="1:8" ht="12.75" customHeight="1">
      <c r="A169" s="22"/>
      <c r="B169" s="22"/>
      <c r="C169" s="22"/>
      <c r="D169" s="3"/>
      <c r="E169" s="3"/>
      <c r="F169" s="3"/>
      <c r="G169" s="3"/>
      <c r="H169" s="3"/>
    </row>
  </sheetData>
  <sheetProtection/>
  <mergeCells count="5">
    <mergeCell ref="D14:H14"/>
    <mergeCell ref="D15:H15"/>
    <mergeCell ref="F7:I7"/>
    <mergeCell ref="D11:H13"/>
    <mergeCell ref="C6:I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7"/>
  <sheetViews>
    <sheetView showGridLines="0" zoomScalePageLayoutView="0" workbookViewId="0" topLeftCell="A397">
      <selection activeCell="I187" sqref="I187"/>
    </sheetView>
  </sheetViews>
  <sheetFormatPr defaultColWidth="9.00390625" defaultRowHeight="12.75"/>
  <cols>
    <col min="1" max="1" width="42.375" style="0" customWidth="1"/>
    <col min="2" max="2" width="3.625" style="0" hidden="1" customWidth="1"/>
    <col min="3" max="3" width="5.25390625" style="0" customWidth="1"/>
    <col min="4" max="4" width="4.00390625" style="0" customWidth="1"/>
    <col min="5" max="5" width="4.875" style="0" customWidth="1"/>
    <col min="6" max="6" width="7.375" style="0" customWidth="1"/>
    <col min="7" max="7" width="4.125" style="0" customWidth="1"/>
    <col min="8" max="8" width="4.75390625" style="0" customWidth="1"/>
    <col min="9" max="11" width="11.875" style="0" customWidth="1"/>
  </cols>
  <sheetData>
    <row r="1" spans="3:11" ht="14.25" customHeight="1">
      <c r="C1" s="28" t="s">
        <v>37</v>
      </c>
      <c r="D1" s="11"/>
      <c r="E1" s="11"/>
      <c r="F1" s="11"/>
      <c r="G1" s="11"/>
      <c r="H1" s="11"/>
      <c r="J1" s="10" t="s">
        <v>33</v>
      </c>
      <c r="K1" s="10"/>
    </row>
    <row r="2" spans="1:11" ht="9" customHeight="1">
      <c r="A2" s="27"/>
      <c r="B2" s="27"/>
      <c r="C2" s="27"/>
      <c r="D2" s="14"/>
      <c r="E2" s="14"/>
      <c r="F2" s="14"/>
      <c r="G2" s="14"/>
      <c r="H2" s="14"/>
      <c r="I2" s="15"/>
      <c r="J2" s="15"/>
      <c r="K2" s="15"/>
    </row>
    <row r="3" spans="1:11" ht="12.75">
      <c r="A3" s="40"/>
      <c r="B3" s="58"/>
      <c r="C3" s="58" t="s">
        <v>12</v>
      </c>
      <c r="D3" s="144" t="s">
        <v>8</v>
      </c>
      <c r="E3" s="145"/>
      <c r="F3" s="145"/>
      <c r="G3" s="145"/>
      <c r="H3" s="146"/>
      <c r="I3" s="65" t="s">
        <v>48</v>
      </c>
      <c r="J3" s="41"/>
      <c r="K3" s="58" t="s">
        <v>3</v>
      </c>
    </row>
    <row r="4" spans="1:11" ht="12.75">
      <c r="A4" s="69"/>
      <c r="B4" s="7"/>
      <c r="C4" s="8" t="s">
        <v>13</v>
      </c>
      <c r="D4" s="147" t="s">
        <v>52</v>
      </c>
      <c r="E4" s="148"/>
      <c r="F4" s="148"/>
      <c r="G4" s="148"/>
      <c r="H4" s="149"/>
      <c r="I4" s="6" t="s">
        <v>47</v>
      </c>
      <c r="J4" s="25" t="s">
        <v>36</v>
      </c>
      <c r="K4" s="6" t="s">
        <v>4</v>
      </c>
    </row>
    <row r="5" spans="1:11" ht="11.25" customHeight="1">
      <c r="A5" s="25" t="s">
        <v>6</v>
      </c>
      <c r="B5" s="8"/>
      <c r="C5" s="8" t="s">
        <v>14</v>
      </c>
      <c r="D5" s="150" t="s">
        <v>58</v>
      </c>
      <c r="E5" s="151"/>
      <c r="F5" s="151"/>
      <c r="G5" s="151"/>
      <c r="H5" s="152"/>
      <c r="I5" s="6" t="s">
        <v>4</v>
      </c>
      <c r="J5" s="6"/>
      <c r="K5" s="6"/>
    </row>
    <row r="6" spans="1:11" ht="12.75">
      <c r="A6" s="70">
        <v>1</v>
      </c>
      <c r="B6" s="4"/>
      <c r="C6" s="70">
        <v>2</v>
      </c>
      <c r="D6" s="153">
        <v>3</v>
      </c>
      <c r="E6" s="154"/>
      <c r="F6" s="154"/>
      <c r="G6" s="154"/>
      <c r="H6" s="155"/>
      <c r="I6" s="71" t="s">
        <v>2</v>
      </c>
      <c r="J6" s="71" t="s">
        <v>38</v>
      </c>
      <c r="K6" s="71" t="s">
        <v>39</v>
      </c>
    </row>
    <row r="7" spans="1:11" ht="15" customHeight="1">
      <c r="A7" s="30" t="s">
        <v>11</v>
      </c>
      <c r="B7" s="32"/>
      <c r="C7" s="33" t="s">
        <v>18</v>
      </c>
      <c r="D7" s="137"/>
      <c r="E7" s="138"/>
      <c r="F7" s="139"/>
      <c r="G7" s="139"/>
      <c r="H7" s="140"/>
      <c r="I7" s="44">
        <f>I9</f>
        <v>67862938.46000001</v>
      </c>
      <c r="J7" s="45">
        <f>J9</f>
        <v>25141444.5</v>
      </c>
      <c r="K7" s="46">
        <f aca="true" t="shared" si="0" ref="K7:K70">IF(ISNUMBER(I7),I7,0)-IF(ISNUMBER(J7),J7,0)</f>
        <v>42721493.96000001</v>
      </c>
    </row>
    <row r="8" spans="1:11" ht="12.75">
      <c r="A8" s="49" t="s">
        <v>7</v>
      </c>
      <c r="B8" s="32">
        <v>2</v>
      </c>
      <c r="C8" s="51"/>
      <c r="D8" s="52"/>
      <c r="E8" s="53"/>
      <c r="F8" s="53"/>
      <c r="G8" s="53"/>
      <c r="H8" s="50"/>
      <c r="I8" s="60"/>
      <c r="J8" s="61"/>
      <c r="K8" s="46"/>
    </row>
    <row r="9" spans="1:11" ht="21.75" customHeight="1">
      <c r="A9" s="49" t="s">
        <v>239</v>
      </c>
      <c r="B9" s="32">
        <v>2</v>
      </c>
      <c r="C9" s="51"/>
      <c r="D9" s="52" t="s">
        <v>65</v>
      </c>
      <c r="E9" s="53" t="s">
        <v>178</v>
      </c>
      <c r="F9" s="53" t="s">
        <v>178</v>
      </c>
      <c r="G9" s="53" t="s">
        <v>178</v>
      </c>
      <c r="H9" s="50" t="s">
        <v>178</v>
      </c>
      <c r="I9" s="44">
        <f>I10+I16+I48+I55+I106+I122+I163+I169+I180+I230+I293+I332+I360+I40+I395+I130+I280+I287</f>
        <v>67862938.46000001</v>
      </c>
      <c r="J9" s="44">
        <f>J10+J16+J48+J55+J106+J122+J163+J169+J180+J230+J293+J332+J360+J40+J395+J130+J280+J287</f>
        <v>25141444.5</v>
      </c>
      <c r="K9" s="46">
        <f t="shared" si="0"/>
        <v>42721493.96000001</v>
      </c>
    </row>
    <row r="10" spans="1:11" s="83" customFormat="1" ht="33.75" customHeight="1">
      <c r="A10" s="75" t="s">
        <v>240</v>
      </c>
      <c r="B10" s="76">
        <v>2</v>
      </c>
      <c r="C10" s="77"/>
      <c r="D10" s="78" t="s">
        <v>65</v>
      </c>
      <c r="E10" s="79" t="s">
        <v>179</v>
      </c>
      <c r="F10" s="79" t="s">
        <v>178</v>
      </c>
      <c r="G10" s="79" t="s">
        <v>178</v>
      </c>
      <c r="H10" s="80" t="s">
        <v>178</v>
      </c>
      <c r="I10" s="81">
        <f aca="true" t="shared" si="1" ref="I10:J14">I11</f>
        <v>1027992</v>
      </c>
      <c r="J10" s="81">
        <f t="shared" si="1"/>
        <v>171084</v>
      </c>
      <c r="K10" s="82">
        <f t="shared" si="0"/>
        <v>856908</v>
      </c>
    </row>
    <row r="11" spans="1:11" s="83" customFormat="1" ht="22.5" customHeight="1">
      <c r="A11" s="75" t="s">
        <v>241</v>
      </c>
      <c r="B11" s="76">
        <v>2</v>
      </c>
      <c r="C11" s="77"/>
      <c r="D11" s="78" t="s">
        <v>65</v>
      </c>
      <c r="E11" s="79" t="s">
        <v>179</v>
      </c>
      <c r="F11" s="79" t="s">
        <v>194</v>
      </c>
      <c r="G11" s="79" t="s">
        <v>178</v>
      </c>
      <c r="H11" s="80" t="s">
        <v>178</v>
      </c>
      <c r="I11" s="81">
        <f t="shared" si="1"/>
        <v>1027992</v>
      </c>
      <c r="J11" s="81">
        <f t="shared" si="1"/>
        <v>171084</v>
      </c>
      <c r="K11" s="82">
        <f t="shared" si="0"/>
        <v>856908</v>
      </c>
    </row>
    <row r="12" spans="1:11" s="83" customFormat="1" ht="22.5" customHeight="1">
      <c r="A12" s="75" t="s">
        <v>242</v>
      </c>
      <c r="B12" s="76">
        <v>2</v>
      </c>
      <c r="C12" s="77"/>
      <c r="D12" s="78" t="s">
        <v>65</v>
      </c>
      <c r="E12" s="79" t="s">
        <v>179</v>
      </c>
      <c r="F12" s="79" t="s">
        <v>194</v>
      </c>
      <c r="G12" s="79" t="s">
        <v>346</v>
      </c>
      <c r="H12" s="80" t="s">
        <v>178</v>
      </c>
      <c r="I12" s="81">
        <f t="shared" si="1"/>
        <v>1027992</v>
      </c>
      <c r="J12" s="81">
        <f t="shared" si="1"/>
        <v>171084</v>
      </c>
      <c r="K12" s="82">
        <f t="shared" si="0"/>
        <v>856908</v>
      </c>
    </row>
    <row r="13" spans="1:11" s="83" customFormat="1" ht="12.75" customHeight="1">
      <c r="A13" s="75" t="s">
        <v>243</v>
      </c>
      <c r="B13" s="76">
        <v>2</v>
      </c>
      <c r="C13" s="77"/>
      <c r="D13" s="78" t="s">
        <v>65</v>
      </c>
      <c r="E13" s="79" t="s">
        <v>179</v>
      </c>
      <c r="F13" s="79" t="s">
        <v>194</v>
      </c>
      <c r="G13" s="79" t="s">
        <v>346</v>
      </c>
      <c r="H13" s="80" t="s">
        <v>18</v>
      </c>
      <c r="I13" s="81">
        <f t="shared" si="1"/>
        <v>1027992</v>
      </c>
      <c r="J13" s="81">
        <f t="shared" si="1"/>
        <v>171084</v>
      </c>
      <c r="K13" s="82">
        <f t="shared" si="0"/>
        <v>856908</v>
      </c>
    </row>
    <row r="14" spans="1:11" s="83" customFormat="1" ht="12.75" customHeight="1">
      <c r="A14" s="75" t="s">
        <v>244</v>
      </c>
      <c r="B14" s="76">
        <v>2</v>
      </c>
      <c r="C14" s="77"/>
      <c r="D14" s="78" t="s">
        <v>65</v>
      </c>
      <c r="E14" s="79" t="s">
        <v>179</v>
      </c>
      <c r="F14" s="79" t="s">
        <v>194</v>
      </c>
      <c r="G14" s="79" t="s">
        <v>346</v>
      </c>
      <c r="H14" s="80" t="s">
        <v>216</v>
      </c>
      <c r="I14" s="81">
        <f t="shared" si="1"/>
        <v>1027992</v>
      </c>
      <c r="J14" s="84">
        <f t="shared" si="1"/>
        <v>171084</v>
      </c>
      <c r="K14" s="82">
        <f t="shared" si="0"/>
        <v>856908</v>
      </c>
    </row>
    <row r="15" spans="1:11" s="83" customFormat="1" ht="12.75" customHeight="1">
      <c r="A15" s="75" t="s">
        <v>245</v>
      </c>
      <c r="B15" s="76">
        <v>2</v>
      </c>
      <c r="C15" s="77"/>
      <c r="D15" s="78" t="s">
        <v>65</v>
      </c>
      <c r="E15" s="79" t="s">
        <v>179</v>
      </c>
      <c r="F15" s="79" t="s">
        <v>194</v>
      </c>
      <c r="G15" s="79" t="s">
        <v>346</v>
      </c>
      <c r="H15" s="80" t="s">
        <v>217</v>
      </c>
      <c r="I15" s="81">
        <f>1027992</f>
        <v>1027992</v>
      </c>
      <c r="J15" s="84">
        <v>171084</v>
      </c>
      <c r="K15" s="82">
        <f t="shared" si="0"/>
        <v>856908</v>
      </c>
    </row>
    <row r="16" spans="1:11" s="83" customFormat="1" ht="45.75" customHeight="1">
      <c r="A16" s="75" t="s">
        <v>246</v>
      </c>
      <c r="B16" s="76">
        <v>2</v>
      </c>
      <c r="C16" s="77"/>
      <c r="D16" s="78" t="s">
        <v>65</v>
      </c>
      <c r="E16" s="79" t="s">
        <v>180</v>
      </c>
      <c r="F16" s="79" t="s">
        <v>178</v>
      </c>
      <c r="G16" s="79" t="s">
        <v>178</v>
      </c>
      <c r="H16" s="80" t="s">
        <v>178</v>
      </c>
      <c r="I16" s="81">
        <f>I17+I34</f>
        <v>8193574</v>
      </c>
      <c r="J16" s="81">
        <f>J17+J34</f>
        <v>1880532.77</v>
      </c>
      <c r="K16" s="82">
        <f t="shared" si="0"/>
        <v>6313041.23</v>
      </c>
    </row>
    <row r="17" spans="1:11" s="83" customFormat="1" ht="12.75" customHeight="1">
      <c r="A17" s="75" t="s">
        <v>247</v>
      </c>
      <c r="B17" s="76">
        <v>2</v>
      </c>
      <c r="C17" s="77"/>
      <c r="D17" s="78" t="s">
        <v>65</v>
      </c>
      <c r="E17" s="79" t="s">
        <v>180</v>
      </c>
      <c r="F17" s="79" t="s">
        <v>458</v>
      </c>
      <c r="G17" s="79" t="s">
        <v>178</v>
      </c>
      <c r="H17" s="80" t="s">
        <v>178</v>
      </c>
      <c r="I17" s="81">
        <f>I18</f>
        <v>7667758</v>
      </c>
      <c r="J17" s="81">
        <f>J18</f>
        <v>1768665.3800000001</v>
      </c>
      <c r="K17" s="82">
        <f t="shared" si="0"/>
        <v>5899092.62</v>
      </c>
    </row>
    <row r="18" spans="1:11" s="83" customFormat="1" ht="23.25" customHeight="1">
      <c r="A18" s="75" t="s">
        <v>242</v>
      </c>
      <c r="B18" s="76">
        <v>2</v>
      </c>
      <c r="C18" s="77"/>
      <c r="D18" s="78" t="s">
        <v>65</v>
      </c>
      <c r="E18" s="79" t="s">
        <v>180</v>
      </c>
      <c r="F18" s="79" t="s">
        <v>458</v>
      </c>
      <c r="G18" s="79" t="s">
        <v>346</v>
      </c>
      <c r="H18" s="80" t="s">
        <v>178</v>
      </c>
      <c r="I18" s="81">
        <f>I19+I31</f>
        <v>7667758</v>
      </c>
      <c r="J18" s="81">
        <f>J19+J31</f>
        <v>1768665.3800000001</v>
      </c>
      <c r="K18" s="82">
        <f t="shared" si="0"/>
        <v>5899092.62</v>
      </c>
    </row>
    <row r="19" spans="1:11" s="83" customFormat="1" ht="12.75" customHeight="1">
      <c r="A19" s="75" t="s">
        <v>243</v>
      </c>
      <c r="B19" s="76">
        <v>2</v>
      </c>
      <c r="C19" s="77"/>
      <c r="D19" s="78" t="s">
        <v>65</v>
      </c>
      <c r="E19" s="79" t="s">
        <v>180</v>
      </c>
      <c r="F19" s="79" t="s">
        <v>458</v>
      </c>
      <c r="G19" s="79" t="s">
        <v>346</v>
      </c>
      <c r="H19" s="80" t="s">
        <v>18</v>
      </c>
      <c r="I19" s="81">
        <f>I20+I23+I30</f>
        <v>7152758</v>
      </c>
      <c r="J19" s="81">
        <f>J20+J23+J30</f>
        <v>1627250.08</v>
      </c>
      <c r="K19" s="82">
        <f t="shared" si="0"/>
        <v>5525507.92</v>
      </c>
    </row>
    <row r="20" spans="1:11" s="83" customFormat="1" ht="12.75" customHeight="1">
      <c r="A20" s="75" t="s">
        <v>248</v>
      </c>
      <c r="B20" s="76">
        <v>2</v>
      </c>
      <c r="C20" s="77"/>
      <c r="D20" s="78" t="s">
        <v>65</v>
      </c>
      <c r="E20" s="79" t="s">
        <v>180</v>
      </c>
      <c r="F20" s="79" t="s">
        <v>458</v>
      </c>
      <c r="G20" s="79" t="s">
        <v>346</v>
      </c>
      <c r="H20" s="80" t="s">
        <v>218</v>
      </c>
      <c r="I20" s="81">
        <f>I21+I22</f>
        <v>5689158</v>
      </c>
      <c r="J20" s="81">
        <f>J21+J22</f>
        <v>1196544.75</v>
      </c>
      <c r="K20" s="82">
        <f t="shared" si="0"/>
        <v>4492613.25</v>
      </c>
    </row>
    <row r="21" spans="1:11" s="83" customFormat="1" ht="12.75" customHeight="1">
      <c r="A21" s="75" t="s">
        <v>249</v>
      </c>
      <c r="B21" s="76">
        <v>2</v>
      </c>
      <c r="C21" s="77"/>
      <c r="D21" s="78" t="s">
        <v>65</v>
      </c>
      <c r="E21" s="79" t="s">
        <v>180</v>
      </c>
      <c r="F21" s="79" t="s">
        <v>458</v>
      </c>
      <c r="G21" s="79" t="s">
        <v>346</v>
      </c>
      <c r="H21" s="80" t="s">
        <v>219</v>
      </c>
      <c r="I21" s="81">
        <f>4369553</f>
        <v>4369553</v>
      </c>
      <c r="J21" s="84">
        <v>999340.26</v>
      </c>
      <c r="K21" s="82">
        <f t="shared" si="0"/>
        <v>3370212.74</v>
      </c>
    </row>
    <row r="22" spans="1:11" s="83" customFormat="1" ht="12.75" customHeight="1">
      <c r="A22" s="75" t="s">
        <v>250</v>
      </c>
      <c r="B22" s="76">
        <v>2</v>
      </c>
      <c r="C22" s="77"/>
      <c r="D22" s="78" t="s">
        <v>65</v>
      </c>
      <c r="E22" s="79" t="s">
        <v>180</v>
      </c>
      <c r="F22" s="79" t="s">
        <v>458</v>
      </c>
      <c r="G22" s="79" t="s">
        <v>346</v>
      </c>
      <c r="H22" s="80" t="s">
        <v>220</v>
      </c>
      <c r="I22" s="81">
        <f>1319605</f>
        <v>1319605</v>
      </c>
      <c r="J22" s="84">
        <v>197204.49</v>
      </c>
      <c r="K22" s="82">
        <f t="shared" si="0"/>
        <v>1122400.51</v>
      </c>
    </row>
    <row r="23" spans="1:11" s="83" customFormat="1" ht="12.75" customHeight="1">
      <c r="A23" s="75" t="s">
        <v>244</v>
      </c>
      <c r="B23" s="76">
        <v>2</v>
      </c>
      <c r="C23" s="77"/>
      <c r="D23" s="78" t="s">
        <v>65</v>
      </c>
      <c r="E23" s="79" t="s">
        <v>180</v>
      </c>
      <c r="F23" s="79" t="s">
        <v>458</v>
      </c>
      <c r="G23" s="79" t="s">
        <v>346</v>
      </c>
      <c r="H23" s="80" t="s">
        <v>216</v>
      </c>
      <c r="I23" s="81">
        <f>SUM(I24:I29)</f>
        <v>1443600</v>
      </c>
      <c r="J23" s="81">
        <f>SUM(J24:J29)</f>
        <v>428261.74</v>
      </c>
      <c r="K23" s="82">
        <f t="shared" si="0"/>
        <v>1015338.26</v>
      </c>
    </row>
    <row r="24" spans="1:11" s="83" customFormat="1" ht="12.75" customHeight="1">
      <c r="A24" s="75" t="s">
        <v>251</v>
      </c>
      <c r="B24" s="76">
        <v>2</v>
      </c>
      <c r="C24" s="77"/>
      <c r="D24" s="78" t="s">
        <v>65</v>
      </c>
      <c r="E24" s="79" t="s">
        <v>180</v>
      </c>
      <c r="F24" s="79" t="s">
        <v>458</v>
      </c>
      <c r="G24" s="79" t="s">
        <v>346</v>
      </c>
      <c r="H24" s="80" t="s">
        <v>221</v>
      </c>
      <c r="I24" s="81">
        <f>198000</f>
        <v>198000</v>
      </c>
      <c r="J24" s="84">
        <v>68353.12</v>
      </c>
      <c r="K24" s="82">
        <f t="shared" si="0"/>
        <v>129646.88</v>
      </c>
    </row>
    <row r="25" spans="1:11" s="83" customFormat="1" ht="12.75" customHeight="1">
      <c r="A25" s="75" t="s">
        <v>252</v>
      </c>
      <c r="B25" s="76">
        <v>2</v>
      </c>
      <c r="C25" s="77"/>
      <c r="D25" s="78" t="s">
        <v>65</v>
      </c>
      <c r="E25" s="79" t="s">
        <v>180</v>
      </c>
      <c r="F25" s="79" t="s">
        <v>458</v>
      </c>
      <c r="G25" s="79" t="s">
        <v>346</v>
      </c>
      <c r="H25" s="80" t="s">
        <v>222</v>
      </c>
      <c r="I25" s="81">
        <f>3500</f>
        <v>3500</v>
      </c>
      <c r="J25" s="84">
        <v>0</v>
      </c>
      <c r="K25" s="82">
        <f t="shared" si="0"/>
        <v>3500</v>
      </c>
    </row>
    <row r="26" spans="1:11" s="83" customFormat="1" ht="12.75" customHeight="1">
      <c r="A26" s="75" t="s">
        <v>253</v>
      </c>
      <c r="B26" s="76">
        <v>2</v>
      </c>
      <c r="C26" s="77"/>
      <c r="D26" s="78" t="s">
        <v>65</v>
      </c>
      <c r="E26" s="79" t="s">
        <v>180</v>
      </c>
      <c r="F26" s="79" t="s">
        <v>458</v>
      </c>
      <c r="G26" s="79" t="s">
        <v>346</v>
      </c>
      <c r="H26" s="80" t="s">
        <v>223</v>
      </c>
      <c r="I26" s="81">
        <f>838100</f>
        <v>838100</v>
      </c>
      <c r="J26" s="84">
        <v>294395.97</v>
      </c>
      <c r="K26" s="82">
        <f t="shared" si="0"/>
        <v>543704.03</v>
      </c>
    </row>
    <row r="27" spans="1:11" s="83" customFormat="1" ht="12.75" customHeight="1" hidden="1">
      <c r="A27" s="75" t="s">
        <v>254</v>
      </c>
      <c r="B27" s="76">
        <v>2</v>
      </c>
      <c r="C27" s="77"/>
      <c r="D27" s="78" t="s">
        <v>65</v>
      </c>
      <c r="E27" s="79" t="s">
        <v>180</v>
      </c>
      <c r="F27" s="79" t="s">
        <v>458</v>
      </c>
      <c r="G27" s="79" t="s">
        <v>346</v>
      </c>
      <c r="H27" s="80" t="s">
        <v>224</v>
      </c>
      <c r="I27" s="81">
        <v>0</v>
      </c>
      <c r="J27" s="84">
        <v>0</v>
      </c>
      <c r="K27" s="82">
        <f t="shared" si="0"/>
        <v>0</v>
      </c>
    </row>
    <row r="28" spans="1:11" s="83" customFormat="1" ht="12.75" customHeight="1">
      <c r="A28" s="75" t="s">
        <v>255</v>
      </c>
      <c r="B28" s="76">
        <v>2</v>
      </c>
      <c r="C28" s="77"/>
      <c r="D28" s="78" t="s">
        <v>65</v>
      </c>
      <c r="E28" s="79" t="s">
        <v>180</v>
      </c>
      <c r="F28" s="79" t="s">
        <v>458</v>
      </c>
      <c r="G28" s="79" t="s">
        <v>346</v>
      </c>
      <c r="H28" s="80" t="s">
        <v>225</v>
      </c>
      <c r="I28" s="81">
        <f>84000</f>
        <v>84000</v>
      </c>
      <c r="J28" s="84">
        <v>12480</v>
      </c>
      <c r="K28" s="82">
        <f t="shared" si="0"/>
        <v>71520</v>
      </c>
    </row>
    <row r="29" spans="1:11" s="83" customFormat="1" ht="12.75" customHeight="1">
      <c r="A29" s="75" t="s">
        <v>245</v>
      </c>
      <c r="B29" s="76">
        <v>2</v>
      </c>
      <c r="C29" s="77"/>
      <c r="D29" s="78" t="s">
        <v>65</v>
      </c>
      <c r="E29" s="79" t="s">
        <v>180</v>
      </c>
      <c r="F29" s="79" t="s">
        <v>458</v>
      </c>
      <c r="G29" s="79" t="s">
        <v>346</v>
      </c>
      <c r="H29" s="80" t="s">
        <v>217</v>
      </c>
      <c r="I29" s="81">
        <f>320000</f>
        <v>320000</v>
      </c>
      <c r="J29" s="84">
        <v>53032.65</v>
      </c>
      <c r="K29" s="82">
        <f t="shared" si="0"/>
        <v>266967.35</v>
      </c>
    </row>
    <row r="30" spans="1:11" s="83" customFormat="1" ht="12.75" customHeight="1">
      <c r="A30" s="75" t="s">
        <v>256</v>
      </c>
      <c r="B30" s="76">
        <v>2</v>
      </c>
      <c r="C30" s="77"/>
      <c r="D30" s="78" t="s">
        <v>65</v>
      </c>
      <c r="E30" s="79" t="s">
        <v>180</v>
      </c>
      <c r="F30" s="79" t="s">
        <v>458</v>
      </c>
      <c r="G30" s="79" t="s">
        <v>346</v>
      </c>
      <c r="H30" s="80" t="s">
        <v>226</v>
      </c>
      <c r="I30" s="81">
        <f>20000</f>
        <v>20000</v>
      </c>
      <c r="J30" s="84">
        <v>2443.59</v>
      </c>
      <c r="K30" s="82">
        <f t="shared" si="0"/>
        <v>17556.41</v>
      </c>
    </row>
    <row r="31" spans="1:11" s="83" customFormat="1" ht="12.75" customHeight="1">
      <c r="A31" s="75" t="s">
        <v>257</v>
      </c>
      <c r="B31" s="76">
        <v>2</v>
      </c>
      <c r="C31" s="77"/>
      <c r="D31" s="78" t="s">
        <v>65</v>
      </c>
      <c r="E31" s="79" t="s">
        <v>180</v>
      </c>
      <c r="F31" s="79" t="s">
        <v>458</v>
      </c>
      <c r="G31" s="79" t="s">
        <v>346</v>
      </c>
      <c r="H31" s="80" t="s">
        <v>227</v>
      </c>
      <c r="I31" s="81">
        <f>I33+I32</f>
        <v>515000</v>
      </c>
      <c r="J31" s="81">
        <f>J33+J32</f>
        <v>141415.3</v>
      </c>
      <c r="K31" s="82">
        <f t="shared" si="0"/>
        <v>373584.7</v>
      </c>
    </row>
    <row r="32" spans="1:11" s="83" customFormat="1" ht="12.75" customHeight="1">
      <c r="A32" s="75" t="s">
        <v>258</v>
      </c>
      <c r="B32" s="76">
        <v>2</v>
      </c>
      <c r="C32" s="77"/>
      <c r="D32" s="78" t="s">
        <v>65</v>
      </c>
      <c r="E32" s="79" t="s">
        <v>180</v>
      </c>
      <c r="F32" s="79" t="s">
        <v>458</v>
      </c>
      <c r="G32" s="79" t="s">
        <v>346</v>
      </c>
      <c r="H32" s="80" t="s">
        <v>228</v>
      </c>
      <c r="I32" s="81">
        <f>15000</f>
        <v>15000</v>
      </c>
      <c r="J32" s="84">
        <v>3740</v>
      </c>
      <c r="K32" s="82">
        <f t="shared" si="0"/>
        <v>11260</v>
      </c>
    </row>
    <row r="33" spans="1:11" s="83" customFormat="1" ht="12.75" customHeight="1">
      <c r="A33" s="75" t="s">
        <v>259</v>
      </c>
      <c r="B33" s="76">
        <v>2</v>
      </c>
      <c r="C33" s="77"/>
      <c r="D33" s="78" t="s">
        <v>65</v>
      </c>
      <c r="E33" s="79" t="s">
        <v>180</v>
      </c>
      <c r="F33" s="79" t="s">
        <v>458</v>
      </c>
      <c r="G33" s="79" t="s">
        <v>346</v>
      </c>
      <c r="H33" s="80" t="s">
        <v>229</v>
      </c>
      <c r="I33" s="81">
        <f>500000</f>
        <v>500000</v>
      </c>
      <c r="J33" s="84">
        <v>137675.3</v>
      </c>
      <c r="K33" s="82">
        <f t="shared" si="0"/>
        <v>362324.7</v>
      </c>
    </row>
    <row r="34" spans="1:11" s="83" customFormat="1" ht="34.5" customHeight="1">
      <c r="A34" s="75" t="s">
        <v>260</v>
      </c>
      <c r="B34" s="76">
        <v>2</v>
      </c>
      <c r="C34" s="77"/>
      <c r="D34" s="78" t="s">
        <v>65</v>
      </c>
      <c r="E34" s="79" t="s">
        <v>180</v>
      </c>
      <c r="F34" s="79" t="s">
        <v>459</v>
      </c>
      <c r="G34" s="79" t="s">
        <v>178</v>
      </c>
      <c r="H34" s="80" t="s">
        <v>178</v>
      </c>
      <c r="I34" s="81">
        <f aca="true" t="shared" si="2" ref="I34:J36">I35</f>
        <v>525816</v>
      </c>
      <c r="J34" s="81">
        <f t="shared" si="2"/>
        <v>111867.39</v>
      </c>
      <c r="K34" s="82">
        <f t="shared" si="0"/>
        <v>413948.61</v>
      </c>
    </row>
    <row r="35" spans="1:11" s="83" customFormat="1" ht="24" customHeight="1">
      <c r="A35" s="75" t="s">
        <v>242</v>
      </c>
      <c r="B35" s="76">
        <v>2</v>
      </c>
      <c r="C35" s="77"/>
      <c r="D35" s="78" t="s">
        <v>65</v>
      </c>
      <c r="E35" s="79" t="s">
        <v>180</v>
      </c>
      <c r="F35" s="79" t="s">
        <v>459</v>
      </c>
      <c r="G35" s="79" t="s">
        <v>346</v>
      </c>
      <c r="H35" s="80" t="s">
        <v>178</v>
      </c>
      <c r="I35" s="81">
        <f t="shared" si="2"/>
        <v>525816</v>
      </c>
      <c r="J35" s="81">
        <f t="shared" si="2"/>
        <v>111867.39</v>
      </c>
      <c r="K35" s="82">
        <f t="shared" si="0"/>
        <v>413948.61</v>
      </c>
    </row>
    <row r="36" spans="1:11" s="83" customFormat="1" ht="12.75" customHeight="1">
      <c r="A36" s="75" t="s">
        <v>243</v>
      </c>
      <c r="B36" s="76">
        <v>2</v>
      </c>
      <c r="C36" s="77"/>
      <c r="D36" s="78" t="s">
        <v>65</v>
      </c>
      <c r="E36" s="79" t="s">
        <v>180</v>
      </c>
      <c r="F36" s="79" t="s">
        <v>459</v>
      </c>
      <c r="G36" s="79" t="s">
        <v>346</v>
      </c>
      <c r="H36" s="80" t="s">
        <v>18</v>
      </c>
      <c r="I36" s="81">
        <f t="shared" si="2"/>
        <v>525816</v>
      </c>
      <c r="J36" s="81">
        <f t="shared" si="2"/>
        <v>111867.39</v>
      </c>
      <c r="K36" s="82">
        <f t="shared" si="0"/>
        <v>413948.61</v>
      </c>
    </row>
    <row r="37" spans="1:11" s="83" customFormat="1" ht="12.75" customHeight="1">
      <c r="A37" s="75" t="s">
        <v>248</v>
      </c>
      <c r="B37" s="76">
        <v>2</v>
      </c>
      <c r="C37" s="77"/>
      <c r="D37" s="78" t="s">
        <v>65</v>
      </c>
      <c r="E37" s="79" t="s">
        <v>180</v>
      </c>
      <c r="F37" s="79" t="s">
        <v>459</v>
      </c>
      <c r="G37" s="79" t="s">
        <v>346</v>
      </c>
      <c r="H37" s="80" t="s">
        <v>218</v>
      </c>
      <c r="I37" s="81">
        <f>I38+I39</f>
        <v>525816</v>
      </c>
      <c r="J37" s="81">
        <f>J38+J39</f>
        <v>111867.39</v>
      </c>
      <c r="K37" s="82">
        <f t="shared" si="0"/>
        <v>413948.61</v>
      </c>
    </row>
    <row r="38" spans="1:11" s="83" customFormat="1" ht="12.75" customHeight="1">
      <c r="A38" s="75" t="s">
        <v>249</v>
      </c>
      <c r="B38" s="76">
        <v>2</v>
      </c>
      <c r="C38" s="77"/>
      <c r="D38" s="78" t="s">
        <v>65</v>
      </c>
      <c r="E38" s="79" t="s">
        <v>180</v>
      </c>
      <c r="F38" s="79" t="s">
        <v>459</v>
      </c>
      <c r="G38" s="79" t="s">
        <v>346</v>
      </c>
      <c r="H38" s="80" t="s">
        <v>219</v>
      </c>
      <c r="I38" s="81">
        <f>403852</f>
        <v>403852</v>
      </c>
      <c r="J38" s="84">
        <v>92417.65</v>
      </c>
      <c r="K38" s="82">
        <f t="shared" si="0"/>
        <v>311434.35</v>
      </c>
    </row>
    <row r="39" spans="1:11" s="83" customFormat="1" ht="12.75" customHeight="1">
      <c r="A39" s="75" t="s">
        <v>250</v>
      </c>
      <c r="B39" s="76">
        <v>2</v>
      </c>
      <c r="C39" s="77"/>
      <c r="D39" s="78" t="s">
        <v>65</v>
      </c>
      <c r="E39" s="79" t="s">
        <v>180</v>
      </c>
      <c r="F39" s="79" t="s">
        <v>459</v>
      </c>
      <c r="G39" s="79" t="s">
        <v>346</v>
      </c>
      <c r="H39" s="80" t="s">
        <v>220</v>
      </c>
      <c r="I39" s="81">
        <f>121964</f>
        <v>121964</v>
      </c>
      <c r="J39" s="84">
        <v>19449.74</v>
      </c>
      <c r="K39" s="82">
        <f t="shared" si="0"/>
        <v>102514.26</v>
      </c>
    </row>
    <row r="40" spans="1:11" s="83" customFormat="1" ht="12.75" customHeight="1" hidden="1">
      <c r="A40" s="75" t="s">
        <v>394</v>
      </c>
      <c r="B40" s="76"/>
      <c r="C40" s="77"/>
      <c r="D40" s="78" t="s">
        <v>65</v>
      </c>
      <c r="E40" s="79" t="s">
        <v>391</v>
      </c>
      <c r="F40" s="79"/>
      <c r="G40" s="79"/>
      <c r="H40" s="80"/>
      <c r="I40" s="81">
        <f aca="true" t="shared" si="3" ref="I40:J42">I41</f>
        <v>0</v>
      </c>
      <c r="J40" s="81">
        <f t="shared" si="3"/>
        <v>0</v>
      </c>
      <c r="K40" s="82">
        <f t="shared" si="0"/>
        <v>0</v>
      </c>
    </row>
    <row r="41" spans="1:11" s="83" customFormat="1" ht="12.75" customHeight="1" hidden="1">
      <c r="A41" s="75" t="s">
        <v>394</v>
      </c>
      <c r="B41" s="76">
        <v>2</v>
      </c>
      <c r="C41" s="77"/>
      <c r="D41" s="78" t="s">
        <v>65</v>
      </c>
      <c r="E41" s="79" t="s">
        <v>391</v>
      </c>
      <c r="F41" s="79" t="s">
        <v>392</v>
      </c>
      <c r="G41" s="79" t="s">
        <v>178</v>
      </c>
      <c r="H41" s="80" t="s">
        <v>178</v>
      </c>
      <c r="I41" s="81">
        <f t="shared" si="3"/>
        <v>0</v>
      </c>
      <c r="J41" s="81">
        <f t="shared" si="3"/>
        <v>0</v>
      </c>
      <c r="K41" s="82">
        <f aca="true" t="shared" si="4" ref="K41:K47">IF(ISNUMBER(I41),I41,0)-IF(ISNUMBER(J41),J41,0)</f>
        <v>0</v>
      </c>
    </row>
    <row r="42" spans="1:11" s="83" customFormat="1" ht="23.25" customHeight="1" hidden="1">
      <c r="A42" s="75" t="s">
        <v>242</v>
      </c>
      <c r="B42" s="76">
        <v>2</v>
      </c>
      <c r="C42" s="77"/>
      <c r="D42" s="78" t="s">
        <v>65</v>
      </c>
      <c r="E42" s="79" t="s">
        <v>391</v>
      </c>
      <c r="F42" s="79" t="s">
        <v>392</v>
      </c>
      <c r="G42" s="79" t="s">
        <v>213</v>
      </c>
      <c r="H42" s="80" t="s">
        <v>178</v>
      </c>
      <c r="I42" s="81">
        <f t="shared" si="3"/>
        <v>0</v>
      </c>
      <c r="J42" s="81">
        <f t="shared" si="3"/>
        <v>0</v>
      </c>
      <c r="K42" s="82">
        <f t="shared" si="4"/>
        <v>0</v>
      </c>
    </row>
    <row r="43" spans="1:11" s="83" customFormat="1" ht="12.75" customHeight="1" hidden="1">
      <c r="A43" s="75" t="s">
        <v>243</v>
      </c>
      <c r="B43" s="76">
        <v>2</v>
      </c>
      <c r="C43" s="77"/>
      <c r="D43" s="78" t="s">
        <v>65</v>
      </c>
      <c r="E43" s="79" t="s">
        <v>391</v>
      </c>
      <c r="F43" s="79" t="s">
        <v>392</v>
      </c>
      <c r="G43" s="79" t="s">
        <v>213</v>
      </c>
      <c r="H43" s="80" t="s">
        <v>18</v>
      </c>
      <c r="I43" s="81">
        <f>I44+I47</f>
        <v>0</v>
      </c>
      <c r="J43" s="81">
        <f>J44+J47</f>
        <v>0</v>
      </c>
      <c r="K43" s="82">
        <f t="shared" si="4"/>
        <v>0</v>
      </c>
    </row>
    <row r="44" spans="1:11" s="83" customFormat="1" ht="12.75" customHeight="1" hidden="1">
      <c r="A44" s="75" t="s">
        <v>244</v>
      </c>
      <c r="B44" s="76">
        <v>2</v>
      </c>
      <c r="C44" s="77"/>
      <c r="D44" s="78" t="s">
        <v>65</v>
      </c>
      <c r="E44" s="79" t="s">
        <v>391</v>
      </c>
      <c r="F44" s="79" t="s">
        <v>392</v>
      </c>
      <c r="G44" s="79" t="s">
        <v>213</v>
      </c>
      <c r="H44" s="80" t="s">
        <v>216</v>
      </c>
      <c r="I44" s="81">
        <f>I46+I45</f>
        <v>0</v>
      </c>
      <c r="J44" s="81">
        <f>J46+J45</f>
        <v>0</v>
      </c>
      <c r="K44" s="82">
        <f t="shared" si="4"/>
        <v>0</v>
      </c>
    </row>
    <row r="45" spans="1:11" s="83" customFormat="1" ht="12.75" customHeight="1" hidden="1">
      <c r="A45" s="75" t="s">
        <v>252</v>
      </c>
      <c r="B45" s="76">
        <v>2</v>
      </c>
      <c r="C45" s="77"/>
      <c r="D45" s="78" t="s">
        <v>65</v>
      </c>
      <c r="E45" s="79" t="s">
        <v>391</v>
      </c>
      <c r="F45" s="79" t="s">
        <v>392</v>
      </c>
      <c r="G45" s="79" t="s">
        <v>213</v>
      </c>
      <c r="H45" s="80" t="s">
        <v>222</v>
      </c>
      <c r="I45" s="81">
        <v>0</v>
      </c>
      <c r="J45" s="84">
        <v>0</v>
      </c>
      <c r="K45" s="82">
        <f t="shared" si="4"/>
        <v>0</v>
      </c>
    </row>
    <row r="46" spans="1:11" s="83" customFormat="1" ht="12.75" customHeight="1" hidden="1">
      <c r="A46" s="75" t="s">
        <v>393</v>
      </c>
      <c r="B46" s="76">
        <v>2</v>
      </c>
      <c r="C46" s="77"/>
      <c r="D46" s="78" t="s">
        <v>65</v>
      </c>
      <c r="E46" s="79" t="s">
        <v>391</v>
      </c>
      <c r="F46" s="79" t="s">
        <v>392</v>
      </c>
      <c r="G46" s="79" t="s">
        <v>213</v>
      </c>
      <c r="H46" s="80" t="s">
        <v>217</v>
      </c>
      <c r="I46" s="81">
        <v>0</v>
      </c>
      <c r="J46" s="84">
        <v>0</v>
      </c>
      <c r="K46" s="82">
        <f t="shared" si="4"/>
        <v>0</v>
      </c>
    </row>
    <row r="47" spans="1:11" s="83" customFormat="1" ht="12.75" customHeight="1" hidden="1">
      <c r="A47" s="75" t="s">
        <v>256</v>
      </c>
      <c r="B47" s="76">
        <v>2</v>
      </c>
      <c r="C47" s="77"/>
      <c r="D47" s="78" t="s">
        <v>65</v>
      </c>
      <c r="E47" s="79" t="s">
        <v>391</v>
      </c>
      <c r="F47" s="79" t="s">
        <v>392</v>
      </c>
      <c r="G47" s="79" t="s">
        <v>213</v>
      </c>
      <c r="H47" s="80" t="s">
        <v>226</v>
      </c>
      <c r="I47" s="81">
        <v>0</v>
      </c>
      <c r="J47" s="84">
        <v>0</v>
      </c>
      <c r="K47" s="82">
        <f t="shared" si="4"/>
        <v>0</v>
      </c>
    </row>
    <row r="48" spans="1:11" s="83" customFormat="1" ht="12.75" customHeight="1">
      <c r="A48" s="75" t="s">
        <v>263</v>
      </c>
      <c r="B48" s="76">
        <v>2</v>
      </c>
      <c r="C48" s="77"/>
      <c r="D48" s="78" t="s">
        <v>65</v>
      </c>
      <c r="E48" s="79" t="s">
        <v>181</v>
      </c>
      <c r="F48" s="79" t="s">
        <v>178</v>
      </c>
      <c r="G48" s="79" t="s">
        <v>178</v>
      </c>
      <c r="H48" s="80" t="s">
        <v>178</v>
      </c>
      <c r="I48" s="81">
        <f aca="true" t="shared" si="5" ref="I48:J50">I49</f>
        <v>150000</v>
      </c>
      <c r="J48" s="81">
        <f t="shared" si="5"/>
        <v>35000</v>
      </c>
      <c r="K48" s="82">
        <f t="shared" si="0"/>
        <v>115000</v>
      </c>
    </row>
    <row r="49" spans="1:11" s="83" customFormat="1" ht="12.75" customHeight="1">
      <c r="A49" s="75" t="s">
        <v>264</v>
      </c>
      <c r="B49" s="76">
        <v>2</v>
      </c>
      <c r="C49" s="77"/>
      <c r="D49" s="78" t="s">
        <v>65</v>
      </c>
      <c r="E49" s="79" t="s">
        <v>181</v>
      </c>
      <c r="F49" s="79" t="s">
        <v>196</v>
      </c>
      <c r="G49" s="79" t="s">
        <v>178</v>
      </c>
      <c r="H49" s="80" t="s">
        <v>178</v>
      </c>
      <c r="I49" s="81">
        <f t="shared" si="5"/>
        <v>150000</v>
      </c>
      <c r="J49" s="81">
        <f t="shared" si="5"/>
        <v>35000</v>
      </c>
      <c r="K49" s="82">
        <f t="shared" si="0"/>
        <v>115000</v>
      </c>
    </row>
    <row r="50" spans="1:11" s="83" customFormat="1" ht="12.75" customHeight="1">
      <c r="A50" s="75" t="s">
        <v>256</v>
      </c>
      <c r="B50" s="76">
        <v>2</v>
      </c>
      <c r="C50" s="77"/>
      <c r="D50" s="78" t="s">
        <v>65</v>
      </c>
      <c r="E50" s="79" t="s">
        <v>181</v>
      </c>
      <c r="F50" s="79" t="s">
        <v>196</v>
      </c>
      <c r="G50" s="79" t="s">
        <v>213</v>
      </c>
      <c r="H50" s="80" t="s">
        <v>178</v>
      </c>
      <c r="I50" s="81">
        <f t="shared" si="5"/>
        <v>150000</v>
      </c>
      <c r="J50" s="81">
        <f t="shared" si="5"/>
        <v>35000</v>
      </c>
      <c r="K50" s="82">
        <f t="shared" si="0"/>
        <v>115000</v>
      </c>
    </row>
    <row r="51" spans="1:11" s="83" customFormat="1" ht="12.75" customHeight="1">
      <c r="A51" s="75" t="s">
        <v>243</v>
      </c>
      <c r="B51" s="76">
        <v>2</v>
      </c>
      <c r="C51" s="77"/>
      <c r="D51" s="78" t="s">
        <v>65</v>
      </c>
      <c r="E51" s="79" t="s">
        <v>181</v>
      </c>
      <c r="F51" s="79" t="s">
        <v>196</v>
      </c>
      <c r="G51" s="79" t="s">
        <v>213</v>
      </c>
      <c r="H51" s="80" t="s">
        <v>18</v>
      </c>
      <c r="I51" s="81">
        <f>I52+I54</f>
        <v>150000</v>
      </c>
      <c r="J51" s="81">
        <f>J52+J54</f>
        <v>35000</v>
      </c>
      <c r="K51" s="82">
        <f t="shared" si="0"/>
        <v>115000</v>
      </c>
    </row>
    <row r="52" spans="1:11" s="83" customFormat="1" ht="12.75" customHeight="1">
      <c r="A52" s="75" t="s">
        <v>265</v>
      </c>
      <c r="B52" s="76">
        <v>2</v>
      </c>
      <c r="C52" s="77"/>
      <c r="D52" s="78" t="s">
        <v>65</v>
      </c>
      <c r="E52" s="79" t="s">
        <v>181</v>
      </c>
      <c r="F52" s="79" t="s">
        <v>196</v>
      </c>
      <c r="G52" s="79" t="s">
        <v>213</v>
      </c>
      <c r="H52" s="80" t="s">
        <v>230</v>
      </c>
      <c r="I52" s="81">
        <f>I53</f>
        <v>50000</v>
      </c>
      <c r="J52" s="81">
        <f>J53</f>
        <v>0</v>
      </c>
      <c r="K52" s="82">
        <f t="shared" si="0"/>
        <v>50000</v>
      </c>
    </row>
    <row r="53" spans="1:11" s="83" customFormat="1" ht="12.75" customHeight="1">
      <c r="A53" s="75" t="s">
        <v>266</v>
      </c>
      <c r="B53" s="76">
        <v>2</v>
      </c>
      <c r="C53" s="77"/>
      <c r="D53" s="78" t="s">
        <v>65</v>
      </c>
      <c r="E53" s="79" t="s">
        <v>181</v>
      </c>
      <c r="F53" s="79" t="s">
        <v>196</v>
      </c>
      <c r="G53" s="79" t="s">
        <v>213</v>
      </c>
      <c r="H53" s="80" t="s">
        <v>231</v>
      </c>
      <c r="I53" s="81">
        <f>50000</f>
        <v>50000</v>
      </c>
      <c r="J53" s="84">
        <v>0</v>
      </c>
      <c r="K53" s="82">
        <f t="shared" si="0"/>
        <v>50000</v>
      </c>
    </row>
    <row r="54" spans="1:11" s="83" customFormat="1" ht="12.75" customHeight="1">
      <c r="A54" s="75" t="s">
        <v>256</v>
      </c>
      <c r="B54" s="76">
        <v>2</v>
      </c>
      <c r="C54" s="77"/>
      <c r="D54" s="78" t="s">
        <v>65</v>
      </c>
      <c r="E54" s="79" t="s">
        <v>181</v>
      </c>
      <c r="F54" s="79" t="s">
        <v>196</v>
      </c>
      <c r="G54" s="79" t="s">
        <v>213</v>
      </c>
      <c r="H54" s="80" t="s">
        <v>226</v>
      </c>
      <c r="I54" s="81">
        <f>100000</f>
        <v>100000</v>
      </c>
      <c r="J54" s="84">
        <v>35000</v>
      </c>
      <c r="K54" s="82">
        <f t="shared" si="0"/>
        <v>65000</v>
      </c>
    </row>
    <row r="55" spans="1:11" s="83" customFormat="1" ht="12.75" customHeight="1">
      <c r="A55" s="75" t="s">
        <v>267</v>
      </c>
      <c r="B55" s="76">
        <v>2</v>
      </c>
      <c r="C55" s="77"/>
      <c r="D55" s="78" t="s">
        <v>65</v>
      </c>
      <c r="E55" s="79" t="s">
        <v>182</v>
      </c>
      <c r="F55" s="79" t="s">
        <v>178</v>
      </c>
      <c r="G55" s="79" t="s">
        <v>178</v>
      </c>
      <c r="H55" s="80" t="s">
        <v>178</v>
      </c>
      <c r="I55" s="81">
        <f>I56+I76+I84+I91+I70+I100</f>
        <v>3513708.55</v>
      </c>
      <c r="J55" s="81">
        <f>J56+J76+J84+J91+J70+J100</f>
        <v>163588.96000000002</v>
      </c>
      <c r="K55" s="82">
        <f t="shared" si="0"/>
        <v>3350119.59</v>
      </c>
    </row>
    <row r="56" spans="1:11" s="83" customFormat="1" ht="12.75" customHeight="1">
      <c r="A56" s="75" t="s">
        <v>268</v>
      </c>
      <c r="B56" s="76">
        <v>2</v>
      </c>
      <c r="C56" s="77"/>
      <c r="D56" s="78" t="s">
        <v>65</v>
      </c>
      <c r="E56" s="79" t="s">
        <v>182</v>
      </c>
      <c r="F56" s="79" t="s">
        <v>197</v>
      </c>
      <c r="G56" s="79" t="s">
        <v>178</v>
      </c>
      <c r="H56" s="80" t="s">
        <v>178</v>
      </c>
      <c r="I56" s="81">
        <f>I57</f>
        <v>1557468.55</v>
      </c>
      <c r="J56" s="81">
        <f>J57</f>
        <v>124703.78000000001</v>
      </c>
      <c r="K56" s="82">
        <f t="shared" si="0"/>
        <v>1432764.77</v>
      </c>
    </row>
    <row r="57" spans="1:11" s="83" customFormat="1" ht="22.5" customHeight="1">
      <c r="A57" s="75" t="s">
        <v>242</v>
      </c>
      <c r="B57" s="76">
        <v>2</v>
      </c>
      <c r="C57" s="77"/>
      <c r="D57" s="78" t="s">
        <v>65</v>
      </c>
      <c r="E57" s="79" t="s">
        <v>182</v>
      </c>
      <c r="F57" s="79" t="s">
        <v>197</v>
      </c>
      <c r="G57" s="79" t="s">
        <v>213</v>
      </c>
      <c r="H57" s="80" t="s">
        <v>178</v>
      </c>
      <c r="I57" s="81">
        <f>I58+I67</f>
        <v>1557468.55</v>
      </c>
      <c r="J57" s="81">
        <f>J58+J67</f>
        <v>124703.78000000001</v>
      </c>
      <c r="K57" s="82">
        <f t="shared" si="0"/>
        <v>1432764.77</v>
      </c>
    </row>
    <row r="58" spans="1:11" s="83" customFormat="1" ht="12.75" customHeight="1">
      <c r="A58" s="75" t="s">
        <v>243</v>
      </c>
      <c r="B58" s="76">
        <v>2</v>
      </c>
      <c r="C58" s="77"/>
      <c r="D58" s="78" t="s">
        <v>65</v>
      </c>
      <c r="E58" s="79" t="s">
        <v>182</v>
      </c>
      <c r="F58" s="79" t="s">
        <v>197</v>
      </c>
      <c r="G58" s="79" t="s">
        <v>213</v>
      </c>
      <c r="H58" s="80" t="s">
        <v>18</v>
      </c>
      <c r="I58" s="81">
        <f>I59+I66</f>
        <v>1507468.55</v>
      </c>
      <c r="J58" s="81">
        <f>J59+J66</f>
        <v>117868.78000000001</v>
      </c>
      <c r="K58" s="82">
        <f t="shared" si="0"/>
        <v>1389599.77</v>
      </c>
    </row>
    <row r="59" spans="1:11" s="83" customFormat="1" ht="12.75" customHeight="1">
      <c r="A59" s="75" t="s">
        <v>244</v>
      </c>
      <c r="B59" s="76">
        <v>2</v>
      </c>
      <c r="C59" s="77"/>
      <c r="D59" s="78" t="s">
        <v>65</v>
      </c>
      <c r="E59" s="79" t="s">
        <v>182</v>
      </c>
      <c r="F59" s="79" t="s">
        <v>197</v>
      </c>
      <c r="G59" s="79" t="s">
        <v>213</v>
      </c>
      <c r="H59" s="80" t="s">
        <v>216</v>
      </c>
      <c r="I59" s="81">
        <f>I61+I62+I63+I65+I64</f>
        <v>1487468.55</v>
      </c>
      <c r="J59" s="81">
        <f>J61+J62+J63+J65+J64</f>
        <v>117868.78000000001</v>
      </c>
      <c r="K59" s="82">
        <f t="shared" si="0"/>
        <v>1369599.77</v>
      </c>
    </row>
    <row r="60" spans="1:11" s="83" customFormat="1" ht="12.75" customHeight="1" hidden="1">
      <c r="A60" s="75" t="s">
        <v>251</v>
      </c>
      <c r="B60" s="76">
        <v>2</v>
      </c>
      <c r="C60" s="77"/>
      <c r="D60" s="78" t="s">
        <v>65</v>
      </c>
      <c r="E60" s="79" t="s">
        <v>182</v>
      </c>
      <c r="F60" s="79" t="s">
        <v>197</v>
      </c>
      <c r="G60" s="79" t="s">
        <v>213</v>
      </c>
      <c r="H60" s="80" t="s">
        <v>221</v>
      </c>
      <c r="I60" s="81"/>
      <c r="J60" s="84"/>
      <c r="K60" s="82">
        <f t="shared" si="0"/>
        <v>0</v>
      </c>
    </row>
    <row r="61" spans="1:11" s="83" customFormat="1" ht="12.75" customHeight="1" hidden="1">
      <c r="A61" s="75" t="s">
        <v>252</v>
      </c>
      <c r="B61" s="76">
        <v>2</v>
      </c>
      <c r="C61" s="77"/>
      <c r="D61" s="78" t="s">
        <v>65</v>
      </c>
      <c r="E61" s="79" t="s">
        <v>182</v>
      </c>
      <c r="F61" s="79" t="s">
        <v>197</v>
      </c>
      <c r="G61" s="79" t="s">
        <v>213</v>
      </c>
      <c r="H61" s="80" t="s">
        <v>222</v>
      </c>
      <c r="I61" s="81">
        <f>0</f>
        <v>0</v>
      </c>
      <c r="J61" s="84">
        <v>0</v>
      </c>
      <c r="K61" s="82">
        <f t="shared" si="0"/>
        <v>0</v>
      </c>
    </row>
    <row r="62" spans="1:11" s="83" customFormat="1" ht="12.75" customHeight="1">
      <c r="A62" s="75" t="s">
        <v>253</v>
      </c>
      <c r="B62" s="76">
        <v>2</v>
      </c>
      <c r="C62" s="77"/>
      <c r="D62" s="78" t="s">
        <v>65</v>
      </c>
      <c r="E62" s="79" t="s">
        <v>182</v>
      </c>
      <c r="F62" s="79" t="s">
        <v>197</v>
      </c>
      <c r="G62" s="79" t="s">
        <v>213</v>
      </c>
      <c r="H62" s="80" t="s">
        <v>223</v>
      </c>
      <c r="I62" s="81">
        <v>68965.15</v>
      </c>
      <c r="J62" s="84">
        <v>67950.63</v>
      </c>
      <c r="K62" s="82">
        <f t="shared" si="0"/>
        <v>1014.5199999999895</v>
      </c>
    </row>
    <row r="63" spans="1:11" s="83" customFormat="1" ht="12.75" customHeight="1">
      <c r="A63" s="75" t="s">
        <v>254</v>
      </c>
      <c r="B63" s="76">
        <v>2</v>
      </c>
      <c r="C63" s="77"/>
      <c r="D63" s="78" t="s">
        <v>65</v>
      </c>
      <c r="E63" s="79" t="s">
        <v>182</v>
      </c>
      <c r="F63" s="79" t="s">
        <v>197</v>
      </c>
      <c r="G63" s="79" t="s">
        <v>213</v>
      </c>
      <c r="H63" s="80" t="s">
        <v>224</v>
      </c>
      <c r="I63" s="81">
        <f>122070</f>
        <v>122070</v>
      </c>
      <c r="J63" s="84">
        <v>8386.32</v>
      </c>
      <c r="K63" s="82">
        <f t="shared" si="0"/>
        <v>113683.68</v>
      </c>
    </row>
    <row r="64" spans="1:11" s="83" customFormat="1" ht="12.75" customHeight="1">
      <c r="A64" s="75" t="s">
        <v>255</v>
      </c>
      <c r="B64" s="76">
        <v>2</v>
      </c>
      <c r="C64" s="77"/>
      <c r="D64" s="78" t="s">
        <v>65</v>
      </c>
      <c r="E64" s="79" t="s">
        <v>182</v>
      </c>
      <c r="F64" s="79" t="s">
        <v>197</v>
      </c>
      <c r="G64" s="79" t="s">
        <v>213</v>
      </c>
      <c r="H64" s="80" t="s">
        <v>225</v>
      </c>
      <c r="I64" s="81">
        <v>441417.4</v>
      </c>
      <c r="J64" s="84">
        <v>9457.14</v>
      </c>
      <c r="K64" s="82">
        <f t="shared" si="0"/>
        <v>431960.26</v>
      </c>
    </row>
    <row r="65" spans="1:11" s="83" customFormat="1" ht="12.75" customHeight="1">
      <c r="A65" s="75" t="s">
        <v>245</v>
      </c>
      <c r="B65" s="76">
        <v>2</v>
      </c>
      <c r="C65" s="77"/>
      <c r="D65" s="78" t="s">
        <v>65</v>
      </c>
      <c r="E65" s="79" t="s">
        <v>182</v>
      </c>
      <c r="F65" s="79" t="s">
        <v>197</v>
      </c>
      <c r="G65" s="79" t="s">
        <v>213</v>
      </c>
      <c r="H65" s="80" t="s">
        <v>217</v>
      </c>
      <c r="I65" s="81">
        <v>855016</v>
      </c>
      <c r="J65" s="84">
        <v>32074.69</v>
      </c>
      <c r="K65" s="82">
        <f t="shared" si="0"/>
        <v>822941.31</v>
      </c>
    </row>
    <row r="66" spans="1:11" s="83" customFormat="1" ht="12.75" customHeight="1">
      <c r="A66" s="75" t="s">
        <v>256</v>
      </c>
      <c r="B66" s="76">
        <v>2</v>
      </c>
      <c r="C66" s="77"/>
      <c r="D66" s="78" t="s">
        <v>65</v>
      </c>
      <c r="E66" s="79" t="s">
        <v>182</v>
      </c>
      <c r="F66" s="79" t="s">
        <v>197</v>
      </c>
      <c r="G66" s="79" t="s">
        <v>213</v>
      </c>
      <c r="H66" s="80" t="s">
        <v>226</v>
      </c>
      <c r="I66" s="81">
        <f>20000</f>
        <v>20000</v>
      </c>
      <c r="J66" s="84">
        <v>0</v>
      </c>
      <c r="K66" s="82">
        <f t="shared" si="0"/>
        <v>20000</v>
      </c>
    </row>
    <row r="67" spans="1:11" s="83" customFormat="1" ht="12.75" customHeight="1">
      <c r="A67" s="75" t="s">
        <v>257</v>
      </c>
      <c r="B67" s="76">
        <v>2</v>
      </c>
      <c r="C67" s="77"/>
      <c r="D67" s="78" t="s">
        <v>65</v>
      </c>
      <c r="E67" s="79" t="s">
        <v>182</v>
      </c>
      <c r="F67" s="79" t="s">
        <v>197</v>
      </c>
      <c r="G67" s="79" t="s">
        <v>213</v>
      </c>
      <c r="H67" s="80" t="s">
        <v>227</v>
      </c>
      <c r="I67" s="81">
        <f>I69+I68</f>
        <v>50000</v>
      </c>
      <c r="J67" s="81">
        <f>J69+J68</f>
        <v>6835</v>
      </c>
      <c r="K67" s="82">
        <f t="shared" si="0"/>
        <v>43165</v>
      </c>
    </row>
    <row r="68" spans="1:11" s="83" customFormat="1" ht="12.75" customHeight="1" hidden="1">
      <c r="A68" s="75" t="s">
        <v>258</v>
      </c>
      <c r="B68" s="76">
        <v>2</v>
      </c>
      <c r="C68" s="77"/>
      <c r="D68" s="78" t="s">
        <v>65</v>
      </c>
      <c r="E68" s="79" t="s">
        <v>182</v>
      </c>
      <c r="F68" s="79" t="s">
        <v>197</v>
      </c>
      <c r="G68" s="79" t="s">
        <v>213</v>
      </c>
      <c r="H68" s="80" t="s">
        <v>228</v>
      </c>
      <c r="I68" s="81">
        <f>0</f>
        <v>0</v>
      </c>
      <c r="J68" s="84">
        <v>0</v>
      </c>
      <c r="K68" s="82">
        <f t="shared" si="0"/>
        <v>0</v>
      </c>
    </row>
    <row r="69" spans="1:11" s="83" customFormat="1" ht="12.75" customHeight="1">
      <c r="A69" s="75" t="s">
        <v>259</v>
      </c>
      <c r="B69" s="76">
        <v>2</v>
      </c>
      <c r="C69" s="77"/>
      <c r="D69" s="78" t="s">
        <v>65</v>
      </c>
      <c r="E69" s="79" t="s">
        <v>182</v>
      </c>
      <c r="F69" s="79" t="s">
        <v>197</v>
      </c>
      <c r="G69" s="79" t="s">
        <v>213</v>
      </c>
      <c r="H69" s="80" t="s">
        <v>229</v>
      </c>
      <c r="I69" s="81">
        <f>50000</f>
        <v>50000</v>
      </c>
      <c r="J69" s="84">
        <v>6835</v>
      </c>
      <c r="K69" s="82">
        <f t="shared" si="0"/>
        <v>43165</v>
      </c>
    </row>
    <row r="70" spans="1:11" s="83" customFormat="1" ht="32.25" customHeight="1" hidden="1">
      <c r="A70" s="75" t="s">
        <v>262</v>
      </c>
      <c r="B70" s="76">
        <v>2</v>
      </c>
      <c r="C70" s="77"/>
      <c r="D70" s="78" t="s">
        <v>65</v>
      </c>
      <c r="E70" s="79" t="s">
        <v>182</v>
      </c>
      <c r="F70" s="79" t="s">
        <v>395</v>
      </c>
      <c r="G70" s="79" t="s">
        <v>178</v>
      </c>
      <c r="H70" s="80" t="s">
        <v>178</v>
      </c>
      <c r="I70" s="81">
        <f aca="true" t="shared" si="6" ref="I70:J72">I71</f>
        <v>0</v>
      </c>
      <c r="J70" s="81">
        <f t="shared" si="6"/>
        <v>0</v>
      </c>
      <c r="K70" s="82">
        <f t="shared" si="0"/>
        <v>0</v>
      </c>
    </row>
    <row r="71" spans="1:11" s="83" customFormat="1" ht="23.25" customHeight="1" hidden="1">
      <c r="A71" s="75" t="s">
        <v>242</v>
      </c>
      <c r="B71" s="76">
        <v>2</v>
      </c>
      <c r="C71" s="77"/>
      <c r="D71" s="78" t="s">
        <v>65</v>
      </c>
      <c r="E71" s="79" t="s">
        <v>182</v>
      </c>
      <c r="F71" s="79" t="s">
        <v>395</v>
      </c>
      <c r="G71" s="79" t="s">
        <v>213</v>
      </c>
      <c r="H71" s="80" t="s">
        <v>178</v>
      </c>
      <c r="I71" s="81">
        <f t="shared" si="6"/>
        <v>0</v>
      </c>
      <c r="J71" s="81">
        <f t="shared" si="6"/>
        <v>0</v>
      </c>
      <c r="K71" s="82">
        <f aca="true" t="shared" si="7" ref="K71:K195">IF(ISNUMBER(I71),I71,0)-IF(ISNUMBER(J71),J71,0)</f>
        <v>0</v>
      </c>
    </row>
    <row r="72" spans="1:11" s="83" customFormat="1" ht="12.75" customHeight="1" hidden="1">
      <c r="A72" s="75" t="s">
        <v>243</v>
      </c>
      <c r="B72" s="76">
        <v>2</v>
      </c>
      <c r="C72" s="77"/>
      <c r="D72" s="78" t="s">
        <v>65</v>
      </c>
      <c r="E72" s="79" t="s">
        <v>182</v>
      </c>
      <c r="F72" s="79" t="s">
        <v>395</v>
      </c>
      <c r="G72" s="79" t="s">
        <v>213</v>
      </c>
      <c r="H72" s="80" t="s">
        <v>18</v>
      </c>
      <c r="I72" s="81">
        <f t="shared" si="6"/>
        <v>0</v>
      </c>
      <c r="J72" s="81">
        <f t="shared" si="6"/>
        <v>0</v>
      </c>
      <c r="K72" s="82">
        <f t="shared" si="7"/>
        <v>0</v>
      </c>
    </row>
    <row r="73" spans="1:11" s="83" customFormat="1" ht="12.75" customHeight="1" hidden="1">
      <c r="A73" s="75" t="s">
        <v>248</v>
      </c>
      <c r="B73" s="76">
        <v>2</v>
      </c>
      <c r="C73" s="77"/>
      <c r="D73" s="78" t="s">
        <v>65</v>
      </c>
      <c r="E73" s="79" t="s">
        <v>182</v>
      </c>
      <c r="F73" s="79" t="s">
        <v>395</v>
      </c>
      <c r="G73" s="79" t="s">
        <v>213</v>
      </c>
      <c r="H73" s="80" t="s">
        <v>218</v>
      </c>
      <c r="I73" s="81">
        <f>I74+I75</f>
        <v>0</v>
      </c>
      <c r="J73" s="81">
        <f>J74+J75</f>
        <v>0</v>
      </c>
      <c r="K73" s="82">
        <f t="shared" si="7"/>
        <v>0</v>
      </c>
    </row>
    <row r="74" spans="1:11" s="83" customFormat="1" ht="12.75" customHeight="1" hidden="1">
      <c r="A74" s="75" t="s">
        <v>249</v>
      </c>
      <c r="B74" s="76">
        <v>2</v>
      </c>
      <c r="C74" s="77"/>
      <c r="D74" s="78" t="s">
        <v>65</v>
      </c>
      <c r="E74" s="79" t="s">
        <v>182</v>
      </c>
      <c r="F74" s="79" t="s">
        <v>395</v>
      </c>
      <c r="G74" s="79" t="s">
        <v>213</v>
      </c>
      <c r="H74" s="80" t="s">
        <v>219</v>
      </c>
      <c r="I74" s="81">
        <f>0</f>
        <v>0</v>
      </c>
      <c r="J74" s="84">
        <v>0</v>
      </c>
      <c r="K74" s="82">
        <f t="shared" si="7"/>
        <v>0</v>
      </c>
    </row>
    <row r="75" spans="1:11" s="83" customFormat="1" ht="12.75" customHeight="1" hidden="1">
      <c r="A75" s="75" t="s">
        <v>250</v>
      </c>
      <c r="B75" s="76">
        <v>2</v>
      </c>
      <c r="C75" s="77"/>
      <c r="D75" s="78" t="s">
        <v>65</v>
      </c>
      <c r="E75" s="79" t="s">
        <v>182</v>
      </c>
      <c r="F75" s="79" t="s">
        <v>395</v>
      </c>
      <c r="G75" s="79" t="s">
        <v>213</v>
      </c>
      <c r="H75" s="80" t="s">
        <v>220</v>
      </c>
      <c r="I75" s="81">
        <f>0</f>
        <v>0</v>
      </c>
      <c r="J75" s="84">
        <v>0</v>
      </c>
      <c r="K75" s="82">
        <f t="shared" si="7"/>
        <v>0</v>
      </c>
    </row>
    <row r="76" spans="1:11" s="83" customFormat="1" ht="34.5" customHeight="1">
      <c r="A76" s="75" t="s">
        <v>269</v>
      </c>
      <c r="B76" s="76">
        <v>2</v>
      </c>
      <c r="C76" s="77"/>
      <c r="D76" s="78" t="s">
        <v>65</v>
      </c>
      <c r="E76" s="79" t="s">
        <v>182</v>
      </c>
      <c r="F76" s="79" t="s">
        <v>198</v>
      </c>
      <c r="G76" s="79" t="s">
        <v>178</v>
      </c>
      <c r="H76" s="80" t="s">
        <v>178</v>
      </c>
      <c r="I76" s="81">
        <f>I77</f>
        <v>200000</v>
      </c>
      <c r="J76" s="81">
        <f>J77</f>
        <v>17165.18</v>
      </c>
      <c r="K76" s="82">
        <f t="shared" si="7"/>
        <v>182834.82</v>
      </c>
    </row>
    <row r="77" spans="1:11" s="83" customFormat="1" ht="12.75" customHeight="1">
      <c r="A77" s="75" t="s">
        <v>256</v>
      </c>
      <c r="B77" s="76">
        <v>2</v>
      </c>
      <c r="C77" s="77"/>
      <c r="D77" s="78" t="s">
        <v>65</v>
      </c>
      <c r="E77" s="79" t="s">
        <v>182</v>
      </c>
      <c r="F77" s="79" t="s">
        <v>198</v>
      </c>
      <c r="G77" s="79" t="s">
        <v>213</v>
      </c>
      <c r="H77" s="80" t="s">
        <v>178</v>
      </c>
      <c r="I77" s="81">
        <f>I78</f>
        <v>200000</v>
      </c>
      <c r="J77" s="81">
        <f>J78</f>
        <v>17165.18</v>
      </c>
      <c r="K77" s="82">
        <f t="shared" si="7"/>
        <v>182834.82</v>
      </c>
    </row>
    <row r="78" spans="1:11" s="83" customFormat="1" ht="12.75" customHeight="1">
      <c r="A78" s="75" t="s">
        <v>243</v>
      </c>
      <c r="B78" s="76">
        <v>2</v>
      </c>
      <c r="C78" s="77"/>
      <c r="D78" s="78" t="s">
        <v>65</v>
      </c>
      <c r="E78" s="79" t="s">
        <v>182</v>
      </c>
      <c r="F78" s="79" t="s">
        <v>198</v>
      </c>
      <c r="G78" s="79" t="s">
        <v>213</v>
      </c>
      <c r="H78" s="80" t="s">
        <v>18</v>
      </c>
      <c r="I78" s="81">
        <f>I79+I82</f>
        <v>200000</v>
      </c>
      <c r="J78" s="81">
        <f>J79+J82</f>
        <v>17165.18</v>
      </c>
      <c r="K78" s="82">
        <f t="shared" si="7"/>
        <v>182834.82</v>
      </c>
    </row>
    <row r="79" spans="1:11" s="83" customFormat="1" ht="12.75" customHeight="1">
      <c r="A79" s="75" t="s">
        <v>248</v>
      </c>
      <c r="B79" s="76">
        <v>2</v>
      </c>
      <c r="C79" s="77"/>
      <c r="D79" s="78" t="s">
        <v>65</v>
      </c>
      <c r="E79" s="79" t="s">
        <v>182</v>
      </c>
      <c r="F79" s="79" t="s">
        <v>198</v>
      </c>
      <c r="G79" s="79" t="s">
        <v>213</v>
      </c>
      <c r="H79" s="80" t="s">
        <v>218</v>
      </c>
      <c r="I79" s="81">
        <f>SUM(I80:I81)</f>
        <v>22448</v>
      </c>
      <c r="J79" s="81">
        <f>SUM(J80:J81)</f>
        <v>14965.18</v>
      </c>
      <c r="K79" s="82">
        <f t="shared" si="7"/>
        <v>7482.82</v>
      </c>
    </row>
    <row r="80" spans="1:11" s="83" customFormat="1" ht="12.75" customHeight="1">
      <c r="A80" s="75" t="s">
        <v>249</v>
      </c>
      <c r="B80" s="76">
        <v>2</v>
      </c>
      <c r="C80" s="77"/>
      <c r="D80" s="78" t="s">
        <v>65</v>
      </c>
      <c r="E80" s="79" t="s">
        <v>182</v>
      </c>
      <c r="F80" s="79" t="s">
        <v>198</v>
      </c>
      <c r="G80" s="79" t="s">
        <v>213</v>
      </c>
      <c r="H80" s="80" t="s">
        <v>219</v>
      </c>
      <c r="I80" s="81">
        <f>17241</f>
        <v>17241</v>
      </c>
      <c r="J80" s="84">
        <v>11494</v>
      </c>
      <c r="K80" s="82">
        <f t="shared" si="7"/>
        <v>5747</v>
      </c>
    </row>
    <row r="81" spans="1:11" s="83" customFormat="1" ht="12.75" customHeight="1">
      <c r="A81" s="75" t="s">
        <v>250</v>
      </c>
      <c r="B81" s="76">
        <v>2</v>
      </c>
      <c r="C81" s="77"/>
      <c r="D81" s="78" t="s">
        <v>65</v>
      </c>
      <c r="E81" s="79" t="s">
        <v>182</v>
      </c>
      <c r="F81" s="79" t="s">
        <v>198</v>
      </c>
      <c r="G81" s="79" t="s">
        <v>213</v>
      </c>
      <c r="H81" s="80" t="s">
        <v>220</v>
      </c>
      <c r="I81" s="81">
        <f>5207</f>
        <v>5207</v>
      </c>
      <c r="J81" s="84">
        <v>3471.18</v>
      </c>
      <c r="K81" s="82">
        <f t="shared" si="7"/>
        <v>1735.8200000000002</v>
      </c>
    </row>
    <row r="82" spans="1:11" s="83" customFormat="1" ht="12.75" customHeight="1">
      <c r="A82" s="75" t="s">
        <v>244</v>
      </c>
      <c r="B82" s="76">
        <v>2</v>
      </c>
      <c r="C82" s="77"/>
      <c r="D82" s="78" t="s">
        <v>65</v>
      </c>
      <c r="E82" s="79" t="s">
        <v>182</v>
      </c>
      <c r="F82" s="79" t="s">
        <v>198</v>
      </c>
      <c r="G82" s="79" t="s">
        <v>213</v>
      </c>
      <c r="H82" s="80" t="s">
        <v>216</v>
      </c>
      <c r="I82" s="81">
        <f>I83</f>
        <v>177552</v>
      </c>
      <c r="J82" s="81">
        <f>J83</f>
        <v>2200</v>
      </c>
      <c r="K82" s="82">
        <f t="shared" si="7"/>
        <v>175352</v>
      </c>
    </row>
    <row r="83" spans="1:11" s="83" customFormat="1" ht="12.75" customHeight="1">
      <c r="A83" s="75" t="s">
        <v>245</v>
      </c>
      <c r="B83" s="76">
        <v>2</v>
      </c>
      <c r="C83" s="77"/>
      <c r="D83" s="78" t="s">
        <v>65</v>
      </c>
      <c r="E83" s="79" t="s">
        <v>182</v>
      </c>
      <c r="F83" s="79" t="s">
        <v>198</v>
      </c>
      <c r="G83" s="79" t="s">
        <v>213</v>
      </c>
      <c r="H83" s="80" t="s">
        <v>217</v>
      </c>
      <c r="I83" s="81">
        <f>177552</f>
        <v>177552</v>
      </c>
      <c r="J83" s="84">
        <v>2200</v>
      </c>
      <c r="K83" s="82">
        <f t="shared" si="7"/>
        <v>175352</v>
      </c>
    </row>
    <row r="84" spans="1:11" s="83" customFormat="1" ht="12.75" customHeight="1">
      <c r="A84" s="75" t="s">
        <v>362</v>
      </c>
      <c r="B84" s="76">
        <v>2</v>
      </c>
      <c r="C84" s="77"/>
      <c r="D84" s="78" t="s">
        <v>65</v>
      </c>
      <c r="E84" s="79" t="s">
        <v>182</v>
      </c>
      <c r="F84" s="79" t="s">
        <v>347</v>
      </c>
      <c r="G84" s="79" t="s">
        <v>178</v>
      </c>
      <c r="H84" s="80" t="s">
        <v>178</v>
      </c>
      <c r="I84" s="81">
        <f aca="true" t="shared" si="8" ref="I84:J87">I85</f>
        <v>200000</v>
      </c>
      <c r="J84" s="81">
        <f t="shared" si="8"/>
        <v>0</v>
      </c>
      <c r="K84" s="82">
        <f aca="true" t="shared" si="9" ref="K84:K90">IF(ISNUMBER(I84),I84,0)-IF(ISNUMBER(J84),J84,0)</f>
        <v>200000</v>
      </c>
    </row>
    <row r="85" spans="1:11" s="83" customFormat="1" ht="12.75" customHeight="1">
      <c r="A85" s="75" t="s">
        <v>256</v>
      </c>
      <c r="B85" s="76">
        <v>2</v>
      </c>
      <c r="C85" s="77"/>
      <c r="D85" s="78" t="s">
        <v>65</v>
      </c>
      <c r="E85" s="79" t="s">
        <v>182</v>
      </c>
      <c r="F85" s="79" t="s">
        <v>347</v>
      </c>
      <c r="G85" s="79" t="s">
        <v>213</v>
      </c>
      <c r="H85" s="80" t="s">
        <v>178</v>
      </c>
      <c r="I85" s="81">
        <f>I86+I89</f>
        <v>200000</v>
      </c>
      <c r="J85" s="81">
        <f>J86+J89</f>
        <v>0</v>
      </c>
      <c r="K85" s="82">
        <f t="shared" si="9"/>
        <v>200000</v>
      </c>
    </row>
    <row r="86" spans="1:11" s="83" customFormat="1" ht="12.75" customHeight="1">
      <c r="A86" s="75" t="s">
        <v>243</v>
      </c>
      <c r="B86" s="76">
        <v>2</v>
      </c>
      <c r="C86" s="77"/>
      <c r="D86" s="78" t="s">
        <v>65</v>
      </c>
      <c r="E86" s="79" t="s">
        <v>182</v>
      </c>
      <c r="F86" s="79" t="s">
        <v>347</v>
      </c>
      <c r="G86" s="79" t="s">
        <v>213</v>
      </c>
      <c r="H86" s="80" t="s">
        <v>18</v>
      </c>
      <c r="I86" s="81">
        <f t="shared" si="8"/>
        <v>200000</v>
      </c>
      <c r="J86" s="81">
        <f t="shared" si="8"/>
        <v>0</v>
      </c>
      <c r="K86" s="82">
        <f t="shared" si="9"/>
        <v>200000</v>
      </c>
    </row>
    <row r="87" spans="1:11" s="83" customFormat="1" ht="12.75" customHeight="1">
      <c r="A87" s="75" t="s">
        <v>244</v>
      </c>
      <c r="B87" s="76">
        <v>2</v>
      </c>
      <c r="C87" s="77"/>
      <c r="D87" s="78" t="s">
        <v>65</v>
      </c>
      <c r="E87" s="79" t="s">
        <v>182</v>
      </c>
      <c r="F87" s="79" t="s">
        <v>347</v>
      </c>
      <c r="G87" s="79" t="s">
        <v>213</v>
      </c>
      <c r="H87" s="80" t="s">
        <v>216</v>
      </c>
      <c r="I87" s="81">
        <f t="shared" si="8"/>
        <v>200000</v>
      </c>
      <c r="J87" s="81">
        <f t="shared" si="8"/>
        <v>0</v>
      </c>
      <c r="K87" s="82">
        <f t="shared" si="9"/>
        <v>200000</v>
      </c>
    </row>
    <row r="88" spans="1:11" s="83" customFormat="1" ht="12.75" customHeight="1">
      <c r="A88" s="75" t="s">
        <v>245</v>
      </c>
      <c r="B88" s="76">
        <v>2</v>
      </c>
      <c r="C88" s="77"/>
      <c r="D88" s="78" t="s">
        <v>65</v>
      </c>
      <c r="E88" s="79" t="s">
        <v>182</v>
      </c>
      <c r="F88" s="79" t="s">
        <v>347</v>
      </c>
      <c r="G88" s="79" t="s">
        <v>213</v>
      </c>
      <c r="H88" s="80" t="s">
        <v>217</v>
      </c>
      <c r="I88" s="81">
        <v>200000</v>
      </c>
      <c r="J88" s="84">
        <v>0</v>
      </c>
      <c r="K88" s="82">
        <f t="shared" si="9"/>
        <v>200000</v>
      </c>
    </row>
    <row r="89" spans="1:11" s="83" customFormat="1" ht="12.75" customHeight="1" hidden="1">
      <c r="A89" s="75" t="s">
        <v>257</v>
      </c>
      <c r="B89" s="76">
        <v>2</v>
      </c>
      <c r="C89" s="77"/>
      <c r="D89" s="78" t="s">
        <v>65</v>
      </c>
      <c r="E89" s="79" t="s">
        <v>182</v>
      </c>
      <c r="F89" s="79" t="s">
        <v>347</v>
      </c>
      <c r="G89" s="79" t="s">
        <v>213</v>
      </c>
      <c r="H89" s="80" t="s">
        <v>227</v>
      </c>
      <c r="I89" s="81">
        <f>I90</f>
        <v>0</v>
      </c>
      <c r="J89" s="81">
        <f>J90</f>
        <v>0</v>
      </c>
      <c r="K89" s="82">
        <f t="shared" si="9"/>
        <v>0</v>
      </c>
    </row>
    <row r="90" spans="1:11" s="83" customFormat="1" ht="12.75" customHeight="1" hidden="1">
      <c r="A90" s="75" t="s">
        <v>258</v>
      </c>
      <c r="B90" s="76">
        <v>2</v>
      </c>
      <c r="C90" s="77"/>
      <c r="D90" s="78" t="s">
        <v>65</v>
      </c>
      <c r="E90" s="79" t="s">
        <v>182</v>
      </c>
      <c r="F90" s="79" t="s">
        <v>347</v>
      </c>
      <c r="G90" s="79" t="s">
        <v>213</v>
      </c>
      <c r="H90" s="80" t="s">
        <v>228</v>
      </c>
      <c r="I90" s="81">
        <f>0</f>
        <v>0</v>
      </c>
      <c r="J90" s="84">
        <v>0</v>
      </c>
      <c r="K90" s="82">
        <f t="shared" si="9"/>
        <v>0</v>
      </c>
    </row>
    <row r="91" spans="1:11" s="83" customFormat="1" ht="23.25" customHeight="1">
      <c r="A91" s="75" t="s">
        <v>270</v>
      </c>
      <c r="B91" s="76">
        <v>2</v>
      </c>
      <c r="C91" s="77"/>
      <c r="D91" s="78" t="s">
        <v>65</v>
      </c>
      <c r="E91" s="79" t="s">
        <v>182</v>
      </c>
      <c r="F91" s="79" t="s">
        <v>199</v>
      </c>
      <c r="G91" s="79" t="s">
        <v>178</v>
      </c>
      <c r="H91" s="80" t="s">
        <v>178</v>
      </c>
      <c r="I91" s="81">
        <f>I92</f>
        <v>1400000</v>
      </c>
      <c r="J91" s="81">
        <f>J92</f>
        <v>0</v>
      </c>
      <c r="K91" s="82">
        <f t="shared" si="7"/>
        <v>1400000</v>
      </c>
    </row>
    <row r="92" spans="1:11" s="83" customFormat="1" ht="12.75" customHeight="1">
      <c r="A92" s="75" t="s">
        <v>256</v>
      </c>
      <c r="B92" s="76">
        <v>2</v>
      </c>
      <c r="C92" s="77"/>
      <c r="D92" s="78" t="s">
        <v>65</v>
      </c>
      <c r="E92" s="79" t="s">
        <v>182</v>
      </c>
      <c r="F92" s="79" t="s">
        <v>199</v>
      </c>
      <c r="G92" s="79" t="s">
        <v>213</v>
      </c>
      <c r="H92" s="80" t="s">
        <v>178</v>
      </c>
      <c r="I92" s="81">
        <f>I93+I97</f>
        <v>1400000</v>
      </c>
      <c r="J92" s="81">
        <f>J93+J97</f>
        <v>0</v>
      </c>
      <c r="K92" s="82">
        <f t="shared" si="7"/>
        <v>1400000</v>
      </c>
    </row>
    <row r="93" spans="1:11" s="83" customFormat="1" ht="12.75" customHeight="1">
      <c r="A93" s="75" t="s">
        <v>243</v>
      </c>
      <c r="B93" s="76">
        <v>2</v>
      </c>
      <c r="C93" s="77"/>
      <c r="D93" s="78" t="s">
        <v>65</v>
      </c>
      <c r="E93" s="79" t="s">
        <v>182</v>
      </c>
      <c r="F93" s="79" t="s">
        <v>199</v>
      </c>
      <c r="G93" s="79" t="s">
        <v>213</v>
      </c>
      <c r="H93" s="80" t="s">
        <v>18</v>
      </c>
      <c r="I93" s="81">
        <f>I94</f>
        <v>400000</v>
      </c>
      <c r="J93" s="81">
        <f>J94</f>
        <v>0</v>
      </c>
      <c r="K93" s="82">
        <f t="shared" si="7"/>
        <v>400000</v>
      </c>
    </row>
    <row r="94" spans="1:11" s="83" customFormat="1" ht="12.75" customHeight="1">
      <c r="A94" s="75" t="s">
        <v>244</v>
      </c>
      <c r="B94" s="76">
        <v>2</v>
      </c>
      <c r="C94" s="77"/>
      <c r="D94" s="78" t="s">
        <v>65</v>
      </c>
      <c r="E94" s="79" t="s">
        <v>182</v>
      </c>
      <c r="F94" s="79" t="s">
        <v>199</v>
      </c>
      <c r="G94" s="79" t="s">
        <v>213</v>
      </c>
      <c r="H94" s="80" t="s">
        <v>216</v>
      </c>
      <c r="I94" s="81">
        <f>I95+I96</f>
        <v>400000</v>
      </c>
      <c r="J94" s="81">
        <f>J95+J96</f>
        <v>0</v>
      </c>
      <c r="K94" s="82">
        <f t="shared" si="7"/>
        <v>400000</v>
      </c>
    </row>
    <row r="95" spans="1:11" s="83" customFormat="1" ht="12.75" customHeight="1">
      <c r="A95" s="75" t="s">
        <v>255</v>
      </c>
      <c r="B95" s="76">
        <v>2</v>
      </c>
      <c r="C95" s="77"/>
      <c r="D95" s="78" t="s">
        <v>65</v>
      </c>
      <c r="E95" s="79" t="s">
        <v>182</v>
      </c>
      <c r="F95" s="79" t="s">
        <v>199</v>
      </c>
      <c r="G95" s="79" t="s">
        <v>213</v>
      </c>
      <c r="H95" s="80" t="s">
        <v>225</v>
      </c>
      <c r="I95" s="81">
        <f>300000</f>
        <v>300000</v>
      </c>
      <c r="J95" s="84">
        <v>0</v>
      </c>
      <c r="K95" s="82">
        <f t="shared" si="7"/>
        <v>300000</v>
      </c>
    </row>
    <row r="96" spans="1:11" s="83" customFormat="1" ht="12.75" customHeight="1">
      <c r="A96" s="75" t="s">
        <v>245</v>
      </c>
      <c r="B96" s="76">
        <v>2</v>
      </c>
      <c r="C96" s="77"/>
      <c r="D96" s="78" t="s">
        <v>65</v>
      </c>
      <c r="E96" s="79" t="s">
        <v>182</v>
      </c>
      <c r="F96" s="79" t="s">
        <v>199</v>
      </c>
      <c r="G96" s="79" t="s">
        <v>213</v>
      </c>
      <c r="H96" s="80" t="s">
        <v>217</v>
      </c>
      <c r="I96" s="81">
        <v>100000</v>
      </c>
      <c r="J96" s="84">
        <v>0</v>
      </c>
      <c r="K96" s="82">
        <f t="shared" si="7"/>
        <v>100000</v>
      </c>
    </row>
    <row r="97" spans="1:11" s="83" customFormat="1" ht="12.75" customHeight="1">
      <c r="A97" s="75" t="s">
        <v>257</v>
      </c>
      <c r="B97" s="76">
        <v>2</v>
      </c>
      <c r="C97" s="77"/>
      <c r="D97" s="78" t="s">
        <v>65</v>
      </c>
      <c r="E97" s="79" t="s">
        <v>182</v>
      </c>
      <c r="F97" s="79" t="s">
        <v>199</v>
      </c>
      <c r="G97" s="79" t="s">
        <v>213</v>
      </c>
      <c r="H97" s="80" t="s">
        <v>227</v>
      </c>
      <c r="I97" s="81">
        <f>I98</f>
        <v>1000000</v>
      </c>
      <c r="J97" s="81">
        <f>J98+J99</f>
        <v>0</v>
      </c>
      <c r="K97" s="82">
        <f t="shared" si="7"/>
        <v>1000000</v>
      </c>
    </row>
    <row r="98" spans="1:11" s="83" customFormat="1" ht="12.75" customHeight="1">
      <c r="A98" s="75" t="s">
        <v>258</v>
      </c>
      <c r="B98" s="76">
        <v>2</v>
      </c>
      <c r="C98" s="77"/>
      <c r="D98" s="78" t="s">
        <v>65</v>
      </c>
      <c r="E98" s="79" t="s">
        <v>182</v>
      </c>
      <c r="F98" s="79" t="s">
        <v>199</v>
      </c>
      <c r="G98" s="79" t="s">
        <v>213</v>
      </c>
      <c r="H98" s="80" t="s">
        <v>228</v>
      </c>
      <c r="I98" s="81">
        <v>1000000</v>
      </c>
      <c r="J98" s="84">
        <v>0</v>
      </c>
      <c r="K98" s="82">
        <f t="shared" si="7"/>
        <v>1000000</v>
      </c>
    </row>
    <row r="99" spans="1:11" s="83" customFormat="1" ht="12.75" customHeight="1" hidden="1">
      <c r="A99" s="75" t="s">
        <v>259</v>
      </c>
      <c r="B99" s="76">
        <v>2</v>
      </c>
      <c r="C99" s="77"/>
      <c r="D99" s="78" t="s">
        <v>65</v>
      </c>
      <c r="E99" s="79" t="s">
        <v>182</v>
      </c>
      <c r="F99" s="79" t="s">
        <v>199</v>
      </c>
      <c r="G99" s="79" t="s">
        <v>213</v>
      </c>
      <c r="H99" s="80" t="s">
        <v>229</v>
      </c>
      <c r="I99" s="81"/>
      <c r="J99" s="84"/>
      <c r="K99" s="82">
        <f t="shared" si="7"/>
        <v>0</v>
      </c>
    </row>
    <row r="100" spans="1:11" s="83" customFormat="1" ht="36.75" customHeight="1">
      <c r="A100" s="75" t="s">
        <v>473</v>
      </c>
      <c r="B100" s="76"/>
      <c r="C100" s="77"/>
      <c r="D100" s="78" t="s">
        <v>65</v>
      </c>
      <c r="E100" s="79" t="s">
        <v>182</v>
      </c>
      <c r="F100" s="79" t="s">
        <v>395</v>
      </c>
      <c r="G100" s="79"/>
      <c r="H100" s="80"/>
      <c r="I100" s="81">
        <f aca="true" t="shared" si="10" ref="I100:J102">I101</f>
        <v>156240</v>
      </c>
      <c r="J100" s="81">
        <f t="shared" si="10"/>
        <v>21720</v>
      </c>
      <c r="K100" s="82">
        <f t="shared" si="7"/>
        <v>134520</v>
      </c>
    </row>
    <row r="101" spans="1:11" s="83" customFormat="1" ht="12.75" customHeight="1">
      <c r="A101" s="75" t="s">
        <v>256</v>
      </c>
      <c r="B101" s="76"/>
      <c r="C101" s="77"/>
      <c r="D101" s="78" t="s">
        <v>65</v>
      </c>
      <c r="E101" s="79" t="s">
        <v>182</v>
      </c>
      <c r="F101" s="79" t="s">
        <v>395</v>
      </c>
      <c r="G101" s="79" t="s">
        <v>213</v>
      </c>
      <c r="H101" s="80"/>
      <c r="I101" s="81">
        <f t="shared" si="10"/>
        <v>156240</v>
      </c>
      <c r="J101" s="81">
        <f t="shared" si="10"/>
        <v>21720</v>
      </c>
      <c r="K101" s="82">
        <f t="shared" si="7"/>
        <v>134520</v>
      </c>
    </row>
    <row r="102" spans="1:11" s="83" customFormat="1" ht="12.75" customHeight="1">
      <c r="A102" s="75" t="s">
        <v>243</v>
      </c>
      <c r="B102" s="76"/>
      <c r="C102" s="77"/>
      <c r="D102" s="78" t="s">
        <v>65</v>
      </c>
      <c r="E102" s="79" t="s">
        <v>182</v>
      </c>
      <c r="F102" s="79" t="s">
        <v>395</v>
      </c>
      <c r="G102" s="79" t="s">
        <v>213</v>
      </c>
      <c r="H102" s="80" t="s">
        <v>18</v>
      </c>
      <c r="I102" s="81">
        <f t="shared" si="10"/>
        <v>156240</v>
      </c>
      <c r="J102" s="81">
        <f t="shared" si="10"/>
        <v>21720</v>
      </c>
      <c r="K102" s="82">
        <f t="shared" si="7"/>
        <v>134520</v>
      </c>
    </row>
    <row r="103" spans="1:11" s="83" customFormat="1" ht="12.75" customHeight="1">
      <c r="A103" s="75" t="s">
        <v>244</v>
      </c>
      <c r="B103" s="76"/>
      <c r="C103" s="77"/>
      <c r="D103" s="78" t="s">
        <v>65</v>
      </c>
      <c r="E103" s="79" t="s">
        <v>182</v>
      </c>
      <c r="F103" s="79" t="s">
        <v>395</v>
      </c>
      <c r="G103" s="79" t="s">
        <v>213</v>
      </c>
      <c r="H103" s="80" t="s">
        <v>218</v>
      </c>
      <c r="I103" s="81">
        <f>I104+I105</f>
        <v>156240</v>
      </c>
      <c r="J103" s="81">
        <f>J104+J105</f>
        <v>21720</v>
      </c>
      <c r="K103" s="82">
        <f t="shared" si="7"/>
        <v>134520</v>
      </c>
    </row>
    <row r="104" spans="1:11" s="83" customFormat="1" ht="12.75" customHeight="1">
      <c r="A104" s="75" t="s">
        <v>249</v>
      </c>
      <c r="B104" s="76"/>
      <c r="C104" s="77"/>
      <c r="D104" s="78" t="s">
        <v>65</v>
      </c>
      <c r="E104" s="79" t="s">
        <v>182</v>
      </c>
      <c r="F104" s="79" t="s">
        <v>395</v>
      </c>
      <c r="G104" s="79" t="s">
        <v>213</v>
      </c>
      <c r="H104" s="80" t="s">
        <v>219</v>
      </c>
      <c r="I104" s="81">
        <f>120000</f>
        <v>120000</v>
      </c>
      <c r="J104" s="81">
        <v>18700</v>
      </c>
      <c r="K104" s="82">
        <f t="shared" si="7"/>
        <v>101300</v>
      </c>
    </row>
    <row r="105" spans="1:11" s="83" customFormat="1" ht="12.75" customHeight="1">
      <c r="A105" s="75" t="s">
        <v>250</v>
      </c>
      <c r="B105" s="76"/>
      <c r="C105" s="77"/>
      <c r="D105" s="78" t="s">
        <v>65</v>
      </c>
      <c r="E105" s="79" t="s">
        <v>182</v>
      </c>
      <c r="F105" s="79" t="s">
        <v>395</v>
      </c>
      <c r="G105" s="79" t="s">
        <v>213</v>
      </c>
      <c r="H105" s="80" t="s">
        <v>220</v>
      </c>
      <c r="I105" s="81">
        <f>36240</f>
        <v>36240</v>
      </c>
      <c r="J105" s="81">
        <f>3020</f>
        <v>3020</v>
      </c>
      <c r="K105" s="82">
        <f t="shared" si="7"/>
        <v>33220</v>
      </c>
    </row>
    <row r="106" spans="1:11" s="83" customFormat="1" ht="12.75" customHeight="1">
      <c r="A106" s="75" t="s">
        <v>271</v>
      </c>
      <c r="B106" s="76">
        <v>2</v>
      </c>
      <c r="C106" s="77"/>
      <c r="D106" s="78" t="s">
        <v>65</v>
      </c>
      <c r="E106" s="79" t="s">
        <v>183</v>
      </c>
      <c r="F106" s="79" t="s">
        <v>178</v>
      </c>
      <c r="G106" s="79" t="s">
        <v>178</v>
      </c>
      <c r="H106" s="80" t="s">
        <v>178</v>
      </c>
      <c r="I106" s="81">
        <f>I107</f>
        <v>425092</v>
      </c>
      <c r="J106" s="81">
        <f>J107</f>
        <v>104932.37</v>
      </c>
      <c r="K106" s="82">
        <f t="shared" si="7"/>
        <v>320159.63</v>
      </c>
    </row>
    <row r="107" spans="1:11" s="83" customFormat="1" ht="22.5" customHeight="1">
      <c r="A107" s="75" t="s">
        <v>272</v>
      </c>
      <c r="B107" s="76">
        <v>2</v>
      </c>
      <c r="C107" s="77"/>
      <c r="D107" s="78" t="s">
        <v>65</v>
      </c>
      <c r="E107" s="79" t="s">
        <v>183</v>
      </c>
      <c r="F107" s="79" t="s">
        <v>200</v>
      </c>
      <c r="G107" s="79" t="s">
        <v>178</v>
      </c>
      <c r="H107" s="80" t="s">
        <v>178</v>
      </c>
      <c r="I107" s="81">
        <f>I108</f>
        <v>425092</v>
      </c>
      <c r="J107" s="81">
        <f>J108</f>
        <v>104932.37</v>
      </c>
      <c r="K107" s="82">
        <f t="shared" si="7"/>
        <v>320159.63</v>
      </c>
    </row>
    <row r="108" spans="1:11" s="83" customFormat="1" ht="23.25" customHeight="1">
      <c r="A108" s="75" t="s">
        <v>242</v>
      </c>
      <c r="B108" s="76">
        <v>2</v>
      </c>
      <c r="C108" s="77"/>
      <c r="D108" s="78" t="s">
        <v>65</v>
      </c>
      <c r="E108" s="79" t="s">
        <v>183</v>
      </c>
      <c r="F108" s="79" t="s">
        <v>200</v>
      </c>
      <c r="G108" s="79" t="s">
        <v>346</v>
      </c>
      <c r="H108" s="80" t="s">
        <v>178</v>
      </c>
      <c r="I108" s="81">
        <f>I109+I119</f>
        <v>425092</v>
      </c>
      <c r="J108" s="81">
        <f>J109+J119</f>
        <v>104932.37</v>
      </c>
      <c r="K108" s="82">
        <f t="shared" si="7"/>
        <v>320159.63</v>
      </c>
    </row>
    <row r="109" spans="1:11" s="83" customFormat="1" ht="12.75" customHeight="1">
      <c r="A109" s="75" t="s">
        <v>243</v>
      </c>
      <c r="B109" s="76">
        <v>2</v>
      </c>
      <c r="C109" s="77"/>
      <c r="D109" s="78" t="s">
        <v>65</v>
      </c>
      <c r="E109" s="79" t="s">
        <v>183</v>
      </c>
      <c r="F109" s="79" t="s">
        <v>200</v>
      </c>
      <c r="G109" s="79" t="s">
        <v>346</v>
      </c>
      <c r="H109" s="80" t="s">
        <v>18</v>
      </c>
      <c r="I109" s="81">
        <f>I110+I113+I118</f>
        <v>420092</v>
      </c>
      <c r="J109" s="81">
        <f>J110+J113+J118</f>
        <v>104932.37</v>
      </c>
      <c r="K109" s="82">
        <f t="shared" si="7"/>
        <v>315159.63</v>
      </c>
    </row>
    <row r="110" spans="1:11" s="83" customFormat="1" ht="12.75" customHeight="1">
      <c r="A110" s="75" t="s">
        <v>248</v>
      </c>
      <c r="B110" s="76">
        <v>2</v>
      </c>
      <c r="C110" s="77"/>
      <c r="D110" s="78" t="s">
        <v>65</v>
      </c>
      <c r="E110" s="79" t="s">
        <v>183</v>
      </c>
      <c r="F110" s="79" t="s">
        <v>200</v>
      </c>
      <c r="G110" s="79" t="s">
        <v>346</v>
      </c>
      <c r="H110" s="80" t="s">
        <v>218</v>
      </c>
      <c r="I110" s="81">
        <f>I111+I112</f>
        <v>411942</v>
      </c>
      <c r="J110" s="81">
        <f>J111+J112</f>
        <v>102256.73</v>
      </c>
      <c r="K110" s="82">
        <f t="shared" si="7"/>
        <v>309685.27</v>
      </c>
    </row>
    <row r="111" spans="1:11" s="83" customFormat="1" ht="12.75" customHeight="1">
      <c r="A111" s="75" t="s">
        <v>249</v>
      </c>
      <c r="B111" s="76">
        <v>2</v>
      </c>
      <c r="C111" s="77"/>
      <c r="D111" s="78" t="s">
        <v>65</v>
      </c>
      <c r="E111" s="79" t="s">
        <v>183</v>
      </c>
      <c r="F111" s="79" t="s">
        <v>200</v>
      </c>
      <c r="G111" s="79" t="s">
        <v>346</v>
      </c>
      <c r="H111" s="80" t="s">
        <v>219</v>
      </c>
      <c r="I111" s="81">
        <v>322198</v>
      </c>
      <c r="J111" s="84">
        <v>77459.97</v>
      </c>
      <c r="K111" s="82">
        <f t="shared" si="7"/>
        <v>244738.03</v>
      </c>
    </row>
    <row r="112" spans="1:11" s="83" customFormat="1" ht="12.75" customHeight="1">
      <c r="A112" s="75" t="s">
        <v>250</v>
      </c>
      <c r="B112" s="76">
        <v>2</v>
      </c>
      <c r="C112" s="77"/>
      <c r="D112" s="78" t="s">
        <v>65</v>
      </c>
      <c r="E112" s="79" t="s">
        <v>183</v>
      </c>
      <c r="F112" s="79" t="s">
        <v>200</v>
      </c>
      <c r="G112" s="79" t="s">
        <v>346</v>
      </c>
      <c r="H112" s="80" t="s">
        <v>220</v>
      </c>
      <c r="I112" s="81">
        <f>89744</f>
        <v>89744</v>
      </c>
      <c r="J112" s="84">
        <v>24796.76</v>
      </c>
      <c r="K112" s="82">
        <f t="shared" si="7"/>
        <v>64947.240000000005</v>
      </c>
    </row>
    <row r="113" spans="1:11" s="83" customFormat="1" ht="12.75" customHeight="1">
      <c r="A113" s="75" t="s">
        <v>244</v>
      </c>
      <c r="B113" s="76">
        <v>2</v>
      </c>
      <c r="C113" s="77"/>
      <c r="D113" s="78" t="s">
        <v>65</v>
      </c>
      <c r="E113" s="79" t="s">
        <v>183</v>
      </c>
      <c r="F113" s="79" t="s">
        <v>200</v>
      </c>
      <c r="G113" s="79" t="s">
        <v>346</v>
      </c>
      <c r="H113" s="80" t="s">
        <v>216</v>
      </c>
      <c r="I113" s="81">
        <f>I115+I116+I117+I114</f>
        <v>8150</v>
      </c>
      <c r="J113" s="81">
        <f>J115+J116+J117+J114</f>
        <v>2675.64</v>
      </c>
      <c r="K113" s="82">
        <f t="shared" si="7"/>
        <v>5474.360000000001</v>
      </c>
    </row>
    <row r="114" spans="1:11" s="83" customFormat="1" ht="12.75" customHeight="1">
      <c r="A114" s="75" t="s">
        <v>251</v>
      </c>
      <c r="B114" s="76">
        <v>2</v>
      </c>
      <c r="C114" s="77"/>
      <c r="D114" s="78" t="s">
        <v>65</v>
      </c>
      <c r="E114" s="79" t="s">
        <v>183</v>
      </c>
      <c r="F114" s="79" t="s">
        <v>200</v>
      </c>
      <c r="G114" s="79" t="s">
        <v>346</v>
      </c>
      <c r="H114" s="80" t="s">
        <v>221</v>
      </c>
      <c r="I114" s="81">
        <f>3500</f>
        <v>3500</v>
      </c>
      <c r="J114" s="84">
        <v>2675.64</v>
      </c>
      <c r="K114" s="82">
        <f t="shared" si="7"/>
        <v>824.3600000000001</v>
      </c>
    </row>
    <row r="115" spans="1:11" s="83" customFormat="1" ht="12.75" customHeight="1">
      <c r="A115" s="75" t="s">
        <v>252</v>
      </c>
      <c r="B115" s="76">
        <v>2</v>
      </c>
      <c r="C115" s="77"/>
      <c r="D115" s="78" t="s">
        <v>65</v>
      </c>
      <c r="E115" s="79" t="s">
        <v>183</v>
      </c>
      <c r="F115" s="79" t="s">
        <v>200</v>
      </c>
      <c r="G115" s="79" t="s">
        <v>346</v>
      </c>
      <c r="H115" s="80" t="s">
        <v>222</v>
      </c>
      <c r="I115" s="81">
        <f>1550</f>
        <v>1550</v>
      </c>
      <c r="J115" s="84">
        <v>0</v>
      </c>
      <c r="K115" s="82">
        <f t="shared" si="7"/>
        <v>1550</v>
      </c>
    </row>
    <row r="116" spans="1:11" s="83" customFormat="1" ht="12.75" customHeight="1">
      <c r="A116" s="75" t="s">
        <v>255</v>
      </c>
      <c r="B116" s="76">
        <v>2</v>
      </c>
      <c r="C116" s="77"/>
      <c r="D116" s="78" t="s">
        <v>65</v>
      </c>
      <c r="E116" s="79" t="s">
        <v>183</v>
      </c>
      <c r="F116" s="79" t="s">
        <v>200</v>
      </c>
      <c r="G116" s="79" t="s">
        <v>346</v>
      </c>
      <c r="H116" s="80" t="s">
        <v>225</v>
      </c>
      <c r="I116" s="81">
        <f>600</f>
        <v>600</v>
      </c>
      <c r="J116" s="84">
        <v>0</v>
      </c>
      <c r="K116" s="82">
        <f t="shared" si="7"/>
        <v>600</v>
      </c>
    </row>
    <row r="117" spans="1:11" s="83" customFormat="1" ht="12.75" customHeight="1">
      <c r="A117" s="75" t="s">
        <v>245</v>
      </c>
      <c r="B117" s="76">
        <v>2</v>
      </c>
      <c r="C117" s="77"/>
      <c r="D117" s="78" t="s">
        <v>65</v>
      </c>
      <c r="E117" s="79" t="s">
        <v>183</v>
      </c>
      <c r="F117" s="79" t="s">
        <v>200</v>
      </c>
      <c r="G117" s="79" t="s">
        <v>346</v>
      </c>
      <c r="H117" s="80" t="s">
        <v>217</v>
      </c>
      <c r="I117" s="81">
        <f>2500</f>
        <v>2500</v>
      </c>
      <c r="J117" s="84">
        <v>0</v>
      </c>
      <c r="K117" s="82">
        <f t="shared" si="7"/>
        <v>2500</v>
      </c>
    </row>
    <row r="118" spans="1:11" s="83" customFormat="1" ht="12.75" customHeight="1" hidden="1">
      <c r="A118" s="75" t="s">
        <v>256</v>
      </c>
      <c r="B118" s="76">
        <v>2</v>
      </c>
      <c r="C118" s="77"/>
      <c r="D118" s="78" t="s">
        <v>65</v>
      </c>
      <c r="E118" s="79" t="s">
        <v>183</v>
      </c>
      <c r="F118" s="79" t="s">
        <v>200</v>
      </c>
      <c r="G118" s="79" t="s">
        <v>346</v>
      </c>
      <c r="H118" s="80" t="s">
        <v>226</v>
      </c>
      <c r="I118" s="81"/>
      <c r="J118" s="84"/>
      <c r="K118" s="82">
        <f t="shared" si="7"/>
        <v>0</v>
      </c>
    </row>
    <row r="119" spans="1:11" s="83" customFormat="1" ht="12.75" customHeight="1">
      <c r="A119" s="75" t="s">
        <v>257</v>
      </c>
      <c r="B119" s="76">
        <v>2</v>
      </c>
      <c r="C119" s="77"/>
      <c r="D119" s="78" t="s">
        <v>65</v>
      </c>
      <c r="E119" s="79" t="s">
        <v>183</v>
      </c>
      <c r="F119" s="79" t="s">
        <v>200</v>
      </c>
      <c r="G119" s="79" t="s">
        <v>346</v>
      </c>
      <c r="H119" s="80" t="s">
        <v>227</v>
      </c>
      <c r="I119" s="81">
        <f>I120+I121</f>
        <v>5000</v>
      </c>
      <c r="J119" s="81">
        <f>J120+J121</f>
        <v>0</v>
      </c>
      <c r="K119" s="82">
        <f t="shared" si="7"/>
        <v>5000</v>
      </c>
    </row>
    <row r="120" spans="1:11" s="83" customFormat="1" ht="12.75" customHeight="1">
      <c r="A120" s="75" t="s">
        <v>258</v>
      </c>
      <c r="B120" s="76">
        <v>2</v>
      </c>
      <c r="C120" s="77"/>
      <c r="D120" s="78" t="s">
        <v>65</v>
      </c>
      <c r="E120" s="79" t="s">
        <v>183</v>
      </c>
      <c r="F120" s="79" t="s">
        <v>200</v>
      </c>
      <c r="G120" s="79" t="s">
        <v>346</v>
      </c>
      <c r="H120" s="80" t="s">
        <v>228</v>
      </c>
      <c r="I120" s="81">
        <v>0</v>
      </c>
      <c r="J120" s="84">
        <v>0</v>
      </c>
      <c r="K120" s="82">
        <f t="shared" si="7"/>
        <v>0</v>
      </c>
    </row>
    <row r="121" spans="1:11" s="83" customFormat="1" ht="12.75" customHeight="1">
      <c r="A121" s="75" t="s">
        <v>259</v>
      </c>
      <c r="B121" s="76">
        <v>2</v>
      </c>
      <c r="C121" s="77"/>
      <c r="D121" s="78" t="s">
        <v>65</v>
      </c>
      <c r="E121" s="79" t="s">
        <v>183</v>
      </c>
      <c r="F121" s="79" t="s">
        <v>200</v>
      </c>
      <c r="G121" s="79" t="s">
        <v>346</v>
      </c>
      <c r="H121" s="80" t="s">
        <v>229</v>
      </c>
      <c r="I121" s="81">
        <v>5000</v>
      </c>
      <c r="J121" s="84">
        <v>0</v>
      </c>
      <c r="K121" s="82">
        <f t="shared" si="7"/>
        <v>5000</v>
      </c>
    </row>
    <row r="122" spans="1:11" s="83" customFormat="1" ht="12.75" customHeight="1">
      <c r="A122" s="75" t="s">
        <v>273</v>
      </c>
      <c r="B122" s="76">
        <v>2</v>
      </c>
      <c r="C122" s="77"/>
      <c r="D122" s="78" t="s">
        <v>65</v>
      </c>
      <c r="E122" s="79" t="s">
        <v>184</v>
      </c>
      <c r="F122" s="79" t="s">
        <v>178</v>
      </c>
      <c r="G122" s="79" t="s">
        <v>178</v>
      </c>
      <c r="H122" s="80" t="s">
        <v>178</v>
      </c>
      <c r="I122" s="81">
        <f aca="true" t="shared" si="11" ref="I122:J124">I123</f>
        <v>138741.72999999998</v>
      </c>
      <c r="J122" s="81">
        <f t="shared" si="11"/>
        <v>50179.94</v>
      </c>
      <c r="K122" s="82">
        <f t="shared" si="7"/>
        <v>88561.78999999998</v>
      </c>
    </row>
    <row r="123" spans="1:11" s="83" customFormat="1" ht="12.75" customHeight="1">
      <c r="A123" s="75" t="s">
        <v>274</v>
      </c>
      <c r="B123" s="76">
        <v>2</v>
      </c>
      <c r="C123" s="77"/>
      <c r="D123" s="78" t="s">
        <v>65</v>
      </c>
      <c r="E123" s="79" t="s">
        <v>184</v>
      </c>
      <c r="F123" s="79" t="s">
        <v>201</v>
      </c>
      <c r="G123" s="79" t="s">
        <v>178</v>
      </c>
      <c r="H123" s="80" t="s">
        <v>178</v>
      </c>
      <c r="I123" s="81">
        <f t="shared" si="11"/>
        <v>138741.72999999998</v>
      </c>
      <c r="J123" s="81">
        <f t="shared" si="11"/>
        <v>50179.94</v>
      </c>
      <c r="K123" s="82">
        <f t="shared" si="7"/>
        <v>88561.78999999998</v>
      </c>
    </row>
    <row r="124" spans="1:11" s="83" customFormat="1" ht="12.75" customHeight="1">
      <c r="A124" s="75" t="s">
        <v>256</v>
      </c>
      <c r="B124" s="76">
        <v>2</v>
      </c>
      <c r="C124" s="77"/>
      <c r="D124" s="78" t="s">
        <v>65</v>
      </c>
      <c r="E124" s="79" t="s">
        <v>184</v>
      </c>
      <c r="F124" s="79" t="s">
        <v>201</v>
      </c>
      <c r="G124" s="79" t="s">
        <v>213</v>
      </c>
      <c r="H124" s="80" t="s">
        <v>178</v>
      </c>
      <c r="I124" s="81">
        <f t="shared" si="11"/>
        <v>138741.72999999998</v>
      </c>
      <c r="J124" s="81">
        <f t="shared" si="11"/>
        <v>50179.94</v>
      </c>
      <c r="K124" s="82">
        <f t="shared" si="7"/>
        <v>88561.78999999998</v>
      </c>
    </row>
    <row r="125" spans="1:11" s="83" customFormat="1" ht="12.75" customHeight="1">
      <c r="A125" s="75" t="s">
        <v>243</v>
      </c>
      <c r="B125" s="76">
        <v>2</v>
      </c>
      <c r="C125" s="77"/>
      <c r="D125" s="78" t="s">
        <v>65</v>
      </c>
      <c r="E125" s="79" t="s">
        <v>184</v>
      </c>
      <c r="F125" s="79" t="s">
        <v>201</v>
      </c>
      <c r="G125" s="79" t="s">
        <v>213</v>
      </c>
      <c r="H125" s="80" t="s">
        <v>18</v>
      </c>
      <c r="I125" s="81">
        <f>I126+I128</f>
        <v>138741.72999999998</v>
      </c>
      <c r="J125" s="81">
        <f>J126+J128</f>
        <v>50179.94</v>
      </c>
      <c r="K125" s="82">
        <f t="shared" si="7"/>
        <v>88561.78999999998</v>
      </c>
    </row>
    <row r="126" spans="1:11" s="83" customFormat="1" ht="12.75" customHeight="1">
      <c r="A126" s="75" t="s">
        <v>244</v>
      </c>
      <c r="B126" s="76"/>
      <c r="C126" s="77"/>
      <c r="D126" s="78" t="s">
        <v>65</v>
      </c>
      <c r="E126" s="79" t="s">
        <v>184</v>
      </c>
      <c r="F126" s="79" t="s">
        <v>201</v>
      </c>
      <c r="G126" s="79" t="s">
        <v>213</v>
      </c>
      <c r="H126" s="80" t="s">
        <v>216</v>
      </c>
      <c r="I126" s="81">
        <f>I127</f>
        <v>50179.94</v>
      </c>
      <c r="J126" s="81">
        <f>J127</f>
        <v>50179.94</v>
      </c>
      <c r="K126" s="82">
        <f t="shared" si="7"/>
        <v>0</v>
      </c>
    </row>
    <row r="127" spans="1:11" s="83" customFormat="1" ht="12.75" customHeight="1">
      <c r="A127" s="75" t="s">
        <v>245</v>
      </c>
      <c r="B127" s="76">
        <v>1</v>
      </c>
      <c r="C127" s="77"/>
      <c r="D127" s="78" t="s">
        <v>65</v>
      </c>
      <c r="E127" s="79" t="s">
        <v>184</v>
      </c>
      <c r="F127" s="79" t="s">
        <v>201</v>
      </c>
      <c r="G127" s="79" t="s">
        <v>213</v>
      </c>
      <c r="H127" s="80" t="s">
        <v>217</v>
      </c>
      <c r="I127" s="81">
        <f>50179.94</f>
        <v>50179.94</v>
      </c>
      <c r="J127" s="84">
        <v>50179.94</v>
      </c>
      <c r="K127" s="82">
        <f>IF(ISNUMBER(I127),I127,0)-IF(ISNUMBER(J127),J127,0)</f>
        <v>0</v>
      </c>
    </row>
    <row r="128" spans="1:11" s="83" customFormat="1" ht="12.75" customHeight="1">
      <c r="A128" s="75" t="s">
        <v>256</v>
      </c>
      <c r="B128" s="76">
        <v>2</v>
      </c>
      <c r="C128" s="77"/>
      <c r="D128" s="78" t="s">
        <v>65</v>
      </c>
      <c r="E128" s="79" t="s">
        <v>184</v>
      </c>
      <c r="F128" s="79" t="s">
        <v>201</v>
      </c>
      <c r="G128" s="79" t="s">
        <v>213</v>
      </c>
      <c r="H128" s="80" t="s">
        <v>226</v>
      </c>
      <c r="I128" s="81">
        <v>88561.79</v>
      </c>
      <c r="J128" s="84">
        <v>0</v>
      </c>
      <c r="K128" s="82">
        <f t="shared" si="7"/>
        <v>88561.79</v>
      </c>
    </row>
    <row r="129" spans="1:11" s="83" customFormat="1" ht="12.75" customHeight="1">
      <c r="A129" s="75" t="s">
        <v>412</v>
      </c>
      <c r="B129" s="76"/>
      <c r="C129" s="77"/>
      <c r="D129" s="78" t="s">
        <v>65</v>
      </c>
      <c r="E129" s="79" t="s">
        <v>413</v>
      </c>
      <c r="F129" s="79"/>
      <c r="G129" s="79"/>
      <c r="H129" s="80"/>
      <c r="I129" s="81">
        <f>I130+I163</f>
        <v>11434325</v>
      </c>
      <c r="J129" s="81">
        <f>J130+J163</f>
        <v>6111926.61</v>
      </c>
      <c r="K129" s="82">
        <f t="shared" si="7"/>
        <v>5322398.39</v>
      </c>
    </row>
    <row r="130" spans="1:11" s="83" customFormat="1" ht="12.75" customHeight="1">
      <c r="A130" s="75" t="s">
        <v>414</v>
      </c>
      <c r="B130" s="76">
        <v>2</v>
      </c>
      <c r="C130" s="77"/>
      <c r="D130" s="78" t="s">
        <v>65</v>
      </c>
      <c r="E130" s="79" t="s">
        <v>411</v>
      </c>
      <c r="F130" s="79" t="s">
        <v>178</v>
      </c>
      <c r="G130" s="79" t="s">
        <v>178</v>
      </c>
      <c r="H130" s="80" t="s">
        <v>178</v>
      </c>
      <c r="I130" s="81">
        <f>I131+I136+I141+I148+I153+I158</f>
        <v>11134325</v>
      </c>
      <c r="J130" s="81">
        <f>J131+J136+J141+J148+J153+J158</f>
        <v>6111926.61</v>
      </c>
      <c r="K130" s="82">
        <f aca="true" t="shared" si="12" ref="K130:K135">IF(ISNUMBER(I130),I130,0)-IF(ISNUMBER(J130),J130,0)</f>
        <v>5022398.39</v>
      </c>
    </row>
    <row r="131" spans="1:11" s="83" customFormat="1" ht="45.75" customHeight="1" hidden="1">
      <c r="A131" s="75" t="s">
        <v>416</v>
      </c>
      <c r="B131" s="76">
        <v>2</v>
      </c>
      <c r="C131" s="77"/>
      <c r="D131" s="78" t="s">
        <v>65</v>
      </c>
      <c r="E131" s="79" t="s">
        <v>411</v>
      </c>
      <c r="F131" s="79" t="s">
        <v>415</v>
      </c>
      <c r="G131" s="79" t="s">
        <v>178</v>
      </c>
      <c r="H131" s="80" t="s">
        <v>178</v>
      </c>
      <c r="I131" s="81">
        <f aca="true" t="shared" si="13" ref="I131:J139">I132</f>
        <v>0</v>
      </c>
      <c r="J131" s="81">
        <f t="shared" si="13"/>
        <v>0</v>
      </c>
      <c r="K131" s="82">
        <f t="shared" si="12"/>
        <v>0</v>
      </c>
    </row>
    <row r="132" spans="1:11" s="83" customFormat="1" ht="12.75" hidden="1">
      <c r="A132" s="75" t="s">
        <v>256</v>
      </c>
      <c r="B132" s="76">
        <v>2</v>
      </c>
      <c r="C132" s="77"/>
      <c r="D132" s="78" t="s">
        <v>65</v>
      </c>
      <c r="E132" s="79" t="s">
        <v>411</v>
      </c>
      <c r="F132" s="79" t="s">
        <v>415</v>
      </c>
      <c r="G132" s="79" t="s">
        <v>213</v>
      </c>
      <c r="H132" s="80" t="s">
        <v>178</v>
      </c>
      <c r="I132" s="81">
        <f t="shared" si="13"/>
        <v>0</v>
      </c>
      <c r="J132" s="81">
        <f t="shared" si="13"/>
        <v>0</v>
      </c>
      <c r="K132" s="82">
        <f t="shared" si="12"/>
        <v>0</v>
      </c>
    </row>
    <row r="133" spans="1:11" s="83" customFormat="1" ht="12.75" hidden="1">
      <c r="A133" s="75" t="s">
        <v>243</v>
      </c>
      <c r="B133" s="76">
        <v>2</v>
      </c>
      <c r="C133" s="77"/>
      <c r="D133" s="78" t="s">
        <v>65</v>
      </c>
      <c r="E133" s="79" t="s">
        <v>411</v>
      </c>
      <c r="F133" s="79" t="s">
        <v>415</v>
      </c>
      <c r="G133" s="79" t="s">
        <v>213</v>
      </c>
      <c r="H133" s="80" t="s">
        <v>18</v>
      </c>
      <c r="I133" s="81">
        <f t="shared" si="13"/>
        <v>0</v>
      </c>
      <c r="J133" s="81">
        <f t="shared" si="13"/>
        <v>0</v>
      </c>
      <c r="K133" s="82">
        <f t="shared" si="12"/>
        <v>0</v>
      </c>
    </row>
    <row r="134" spans="1:11" s="83" customFormat="1" ht="12.75" hidden="1">
      <c r="A134" s="75" t="s">
        <v>244</v>
      </c>
      <c r="B134" s="76">
        <v>2</v>
      </c>
      <c r="C134" s="77"/>
      <c r="D134" s="78" t="s">
        <v>65</v>
      </c>
      <c r="E134" s="79" t="s">
        <v>411</v>
      </c>
      <c r="F134" s="79" t="s">
        <v>415</v>
      </c>
      <c r="G134" s="79" t="s">
        <v>213</v>
      </c>
      <c r="H134" s="80" t="s">
        <v>216</v>
      </c>
      <c r="I134" s="81">
        <f t="shared" si="13"/>
        <v>0</v>
      </c>
      <c r="J134" s="81">
        <f t="shared" si="13"/>
        <v>0</v>
      </c>
      <c r="K134" s="82">
        <f t="shared" si="12"/>
        <v>0</v>
      </c>
    </row>
    <row r="135" spans="1:11" s="83" customFormat="1" ht="12.75" customHeight="1" hidden="1">
      <c r="A135" s="75" t="s">
        <v>255</v>
      </c>
      <c r="B135" s="76">
        <v>2</v>
      </c>
      <c r="C135" s="77"/>
      <c r="D135" s="78" t="s">
        <v>65</v>
      </c>
      <c r="E135" s="79" t="s">
        <v>411</v>
      </c>
      <c r="F135" s="79" t="s">
        <v>415</v>
      </c>
      <c r="G135" s="79" t="s">
        <v>213</v>
      </c>
      <c r="H135" s="80" t="s">
        <v>225</v>
      </c>
      <c r="I135" s="81">
        <f>0</f>
        <v>0</v>
      </c>
      <c r="J135" s="84">
        <v>0</v>
      </c>
      <c r="K135" s="82">
        <f t="shared" si="12"/>
        <v>0</v>
      </c>
    </row>
    <row r="136" spans="1:11" s="83" customFormat="1" ht="45.75" customHeight="1" hidden="1">
      <c r="A136" s="75" t="s">
        <v>444</v>
      </c>
      <c r="B136" s="76">
        <v>2</v>
      </c>
      <c r="C136" s="77"/>
      <c r="D136" s="78" t="s">
        <v>65</v>
      </c>
      <c r="E136" s="79" t="s">
        <v>411</v>
      </c>
      <c r="F136" s="79" t="s">
        <v>445</v>
      </c>
      <c r="G136" s="79" t="s">
        <v>178</v>
      </c>
      <c r="H136" s="80" t="s">
        <v>178</v>
      </c>
      <c r="I136" s="81">
        <f t="shared" si="13"/>
        <v>0</v>
      </c>
      <c r="J136" s="81">
        <f t="shared" si="13"/>
        <v>0</v>
      </c>
      <c r="K136" s="82">
        <f>IF(ISNUMBER(I136),I136,0)-IF(ISNUMBER(J136),J136,0)</f>
        <v>0</v>
      </c>
    </row>
    <row r="137" spans="1:11" s="83" customFormat="1" ht="12.75" hidden="1">
      <c r="A137" s="75" t="s">
        <v>256</v>
      </c>
      <c r="B137" s="76">
        <v>2</v>
      </c>
      <c r="C137" s="77"/>
      <c r="D137" s="78" t="s">
        <v>65</v>
      </c>
      <c r="E137" s="79" t="s">
        <v>411</v>
      </c>
      <c r="F137" s="79" t="s">
        <v>445</v>
      </c>
      <c r="G137" s="79" t="s">
        <v>213</v>
      </c>
      <c r="H137" s="80" t="s">
        <v>178</v>
      </c>
      <c r="I137" s="81">
        <f t="shared" si="13"/>
        <v>0</v>
      </c>
      <c r="J137" s="81">
        <f t="shared" si="13"/>
        <v>0</v>
      </c>
      <c r="K137" s="82">
        <f>IF(ISNUMBER(I137),I137,0)-IF(ISNUMBER(J137),J137,0)</f>
        <v>0</v>
      </c>
    </row>
    <row r="138" spans="1:11" s="83" customFormat="1" ht="12.75" hidden="1">
      <c r="A138" s="75" t="s">
        <v>243</v>
      </c>
      <c r="B138" s="76">
        <v>2</v>
      </c>
      <c r="C138" s="77"/>
      <c r="D138" s="78" t="s">
        <v>65</v>
      </c>
      <c r="E138" s="79" t="s">
        <v>411</v>
      </c>
      <c r="F138" s="79" t="s">
        <v>445</v>
      </c>
      <c r="G138" s="79" t="s">
        <v>213</v>
      </c>
      <c r="H138" s="80" t="s">
        <v>18</v>
      </c>
      <c r="I138" s="81">
        <f t="shared" si="13"/>
        <v>0</v>
      </c>
      <c r="J138" s="81">
        <f t="shared" si="13"/>
        <v>0</v>
      </c>
      <c r="K138" s="82">
        <f>IF(ISNUMBER(I138),I138,0)-IF(ISNUMBER(J138),J138,0)</f>
        <v>0</v>
      </c>
    </row>
    <row r="139" spans="1:11" s="83" customFormat="1" ht="12.75" hidden="1">
      <c r="A139" s="75" t="s">
        <v>244</v>
      </c>
      <c r="B139" s="76">
        <v>2</v>
      </c>
      <c r="C139" s="77"/>
      <c r="D139" s="78" t="s">
        <v>65</v>
      </c>
      <c r="E139" s="79" t="s">
        <v>411</v>
      </c>
      <c r="F139" s="79" t="s">
        <v>445</v>
      </c>
      <c r="G139" s="79" t="s">
        <v>213</v>
      </c>
      <c r="H139" s="80" t="s">
        <v>216</v>
      </c>
      <c r="I139" s="81">
        <f t="shared" si="13"/>
        <v>0</v>
      </c>
      <c r="J139" s="81">
        <f t="shared" si="13"/>
        <v>0</v>
      </c>
      <c r="K139" s="82">
        <f>IF(ISNUMBER(I139),I139,0)-IF(ISNUMBER(J139),J139,0)</f>
        <v>0</v>
      </c>
    </row>
    <row r="140" spans="1:11" s="83" customFormat="1" ht="12.75" customHeight="1" hidden="1">
      <c r="A140" s="75" t="s">
        <v>255</v>
      </c>
      <c r="B140" s="76">
        <v>2</v>
      </c>
      <c r="C140" s="77"/>
      <c r="D140" s="78" t="s">
        <v>65</v>
      </c>
      <c r="E140" s="79" t="s">
        <v>411</v>
      </c>
      <c r="F140" s="79" t="s">
        <v>445</v>
      </c>
      <c r="G140" s="79" t="s">
        <v>213</v>
      </c>
      <c r="H140" s="80" t="s">
        <v>225</v>
      </c>
      <c r="I140" s="81">
        <f>0</f>
        <v>0</v>
      </c>
      <c r="J140" s="84">
        <v>0</v>
      </c>
      <c r="K140" s="82">
        <f>IF(ISNUMBER(I140),I140,0)-IF(ISNUMBER(J140),J140,0)</f>
        <v>0</v>
      </c>
    </row>
    <row r="141" spans="1:11" s="83" customFormat="1" ht="35.25" customHeight="1">
      <c r="A141" s="75" t="s">
        <v>366</v>
      </c>
      <c r="B141" s="76"/>
      <c r="C141" s="77"/>
      <c r="D141" s="78" t="s">
        <v>65</v>
      </c>
      <c r="E141" s="79" t="s">
        <v>411</v>
      </c>
      <c r="F141" s="79" t="s">
        <v>349</v>
      </c>
      <c r="G141" s="79"/>
      <c r="H141" s="80"/>
      <c r="I141" s="81">
        <f>I142</f>
        <v>542917</v>
      </c>
      <c r="J141" s="81">
        <f>J142</f>
        <v>60926.61</v>
      </c>
      <c r="K141" s="82">
        <f aca="true" t="shared" si="14" ref="K141:K157">IF(ISNUMBER(I141),I141,0)-IF(ISNUMBER(J141),J141,0)</f>
        <v>481990.39</v>
      </c>
    </row>
    <row r="142" spans="1:11" s="83" customFormat="1" ht="12.75" customHeight="1">
      <c r="A142" s="75" t="s">
        <v>256</v>
      </c>
      <c r="B142" s="76"/>
      <c r="C142" s="77"/>
      <c r="D142" s="78" t="s">
        <v>65</v>
      </c>
      <c r="E142" s="79" t="s">
        <v>411</v>
      </c>
      <c r="F142" s="79" t="s">
        <v>349</v>
      </c>
      <c r="G142" s="79" t="s">
        <v>213</v>
      </c>
      <c r="H142" s="80"/>
      <c r="I142" s="81">
        <f>I143+I146</f>
        <v>542917</v>
      </c>
      <c r="J142" s="81">
        <f>J143+J146</f>
        <v>60926.61</v>
      </c>
      <c r="K142" s="82">
        <f t="shared" si="14"/>
        <v>481990.39</v>
      </c>
    </row>
    <row r="143" spans="1:11" s="83" customFormat="1" ht="12.75" customHeight="1">
      <c r="A143" s="75" t="s">
        <v>243</v>
      </c>
      <c r="B143" s="76"/>
      <c r="C143" s="77"/>
      <c r="D143" s="78" t="s">
        <v>65</v>
      </c>
      <c r="E143" s="79" t="s">
        <v>411</v>
      </c>
      <c r="F143" s="79" t="s">
        <v>349</v>
      </c>
      <c r="G143" s="79" t="s">
        <v>213</v>
      </c>
      <c r="H143" s="80" t="s">
        <v>18</v>
      </c>
      <c r="I143" s="81">
        <f>I144</f>
        <v>142917</v>
      </c>
      <c r="J143" s="81">
        <f>J144</f>
        <v>34826.61</v>
      </c>
      <c r="K143" s="82">
        <f t="shared" si="14"/>
        <v>108090.39</v>
      </c>
    </row>
    <row r="144" spans="1:11" s="83" customFormat="1" ht="12.75" customHeight="1">
      <c r="A144" s="75" t="s">
        <v>244</v>
      </c>
      <c r="B144" s="76"/>
      <c r="C144" s="77"/>
      <c r="D144" s="78" t="s">
        <v>65</v>
      </c>
      <c r="E144" s="79" t="s">
        <v>411</v>
      </c>
      <c r="F144" s="79" t="s">
        <v>349</v>
      </c>
      <c r="G144" s="79" t="s">
        <v>213</v>
      </c>
      <c r="H144" s="80" t="s">
        <v>216</v>
      </c>
      <c r="I144" s="81">
        <f>I145</f>
        <v>142917</v>
      </c>
      <c r="J144" s="81">
        <f>J145</f>
        <v>34826.61</v>
      </c>
      <c r="K144" s="82">
        <f t="shared" si="14"/>
        <v>108090.39</v>
      </c>
    </row>
    <row r="145" spans="1:11" s="83" customFormat="1" ht="12.75" customHeight="1">
      <c r="A145" s="75" t="s">
        <v>255</v>
      </c>
      <c r="B145" s="76"/>
      <c r="C145" s="77"/>
      <c r="D145" s="78" t="s">
        <v>65</v>
      </c>
      <c r="E145" s="79" t="s">
        <v>411</v>
      </c>
      <c r="F145" s="79" t="s">
        <v>349</v>
      </c>
      <c r="G145" s="79" t="s">
        <v>213</v>
      </c>
      <c r="H145" s="80" t="s">
        <v>225</v>
      </c>
      <c r="I145" s="81">
        <f>142917</f>
        <v>142917</v>
      </c>
      <c r="J145" s="81">
        <v>34826.61</v>
      </c>
      <c r="K145" s="82">
        <f t="shared" si="14"/>
        <v>108090.39</v>
      </c>
    </row>
    <row r="146" spans="1:11" s="83" customFormat="1" ht="12.75" customHeight="1">
      <c r="A146" s="75" t="s">
        <v>257</v>
      </c>
      <c r="B146" s="76"/>
      <c r="C146" s="77"/>
      <c r="D146" s="78" t="s">
        <v>65</v>
      </c>
      <c r="E146" s="79" t="s">
        <v>411</v>
      </c>
      <c r="F146" s="79" t="s">
        <v>349</v>
      </c>
      <c r="G146" s="79" t="s">
        <v>213</v>
      </c>
      <c r="H146" s="80" t="s">
        <v>227</v>
      </c>
      <c r="I146" s="81">
        <f>I147</f>
        <v>400000</v>
      </c>
      <c r="J146" s="81">
        <f>J147</f>
        <v>26100</v>
      </c>
      <c r="K146" s="82">
        <f t="shared" si="14"/>
        <v>373900</v>
      </c>
    </row>
    <row r="147" spans="1:11" s="83" customFormat="1" ht="12.75" customHeight="1">
      <c r="A147" s="75" t="s">
        <v>259</v>
      </c>
      <c r="B147" s="76"/>
      <c r="C147" s="77"/>
      <c r="D147" s="78" t="s">
        <v>65</v>
      </c>
      <c r="E147" s="79" t="s">
        <v>411</v>
      </c>
      <c r="F147" s="79" t="s">
        <v>349</v>
      </c>
      <c r="G147" s="79" t="s">
        <v>213</v>
      </c>
      <c r="H147" s="80" t="s">
        <v>229</v>
      </c>
      <c r="I147" s="81">
        <v>400000</v>
      </c>
      <c r="J147" s="81">
        <v>26100</v>
      </c>
      <c r="K147" s="82">
        <f t="shared" si="14"/>
        <v>373900</v>
      </c>
    </row>
    <row r="148" spans="1:11" s="83" customFormat="1" ht="45.75" customHeight="1">
      <c r="A148" s="75" t="s">
        <v>460</v>
      </c>
      <c r="B148" s="76">
        <v>2</v>
      </c>
      <c r="C148" s="77"/>
      <c r="D148" s="78" t="s">
        <v>65</v>
      </c>
      <c r="E148" s="79" t="s">
        <v>411</v>
      </c>
      <c r="F148" s="79" t="s">
        <v>461</v>
      </c>
      <c r="G148" s="79" t="s">
        <v>178</v>
      </c>
      <c r="H148" s="80" t="s">
        <v>178</v>
      </c>
      <c r="I148" s="81">
        <f aca="true" t="shared" si="15" ref="I148:J151">I149</f>
        <v>498956</v>
      </c>
      <c r="J148" s="81">
        <f t="shared" si="15"/>
        <v>0</v>
      </c>
      <c r="K148" s="82">
        <f t="shared" si="14"/>
        <v>498956</v>
      </c>
    </row>
    <row r="149" spans="1:11" s="83" customFormat="1" ht="12.75">
      <c r="A149" s="75" t="s">
        <v>256</v>
      </c>
      <c r="B149" s="76">
        <v>2</v>
      </c>
      <c r="C149" s="77"/>
      <c r="D149" s="78" t="s">
        <v>65</v>
      </c>
      <c r="E149" s="79" t="s">
        <v>411</v>
      </c>
      <c r="F149" s="79" t="s">
        <v>461</v>
      </c>
      <c r="G149" s="79" t="s">
        <v>213</v>
      </c>
      <c r="H149" s="80" t="s">
        <v>178</v>
      </c>
      <c r="I149" s="81">
        <f t="shared" si="15"/>
        <v>498956</v>
      </c>
      <c r="J149" s="81">
        <f t="shared" si="15"/>
        <v>0</v>
      </c>
      <c r="K149" s="82">
        <f t="shared" si="14"/>
        <v>498956</v>
      </c>
    </row>
    <row r="150" spans="1:11" s="83" customFormat="1" ht="12.75">
      <c r="A150" s="75" t="s">
        <v>243</v>
      </c>
      <c r="B150" s="76">
        <v>2</v>
      </c>
      <c r="C150" s="77"/>
      <c r="D150" s="78" t="s">
        <v>65</v>
      </c>
      <c r="E150" s="79" t="s">
        <v>411</v>
      </c>
      <c r="F150" s="79" t="s">
        <v>461</v>
      </c>
      <c r="G150" s="79" t="s">
        <v>213</v>
      </c>
      <c r="H150" s="80" t="s">
        <v>18</v>
      </c>
      <c r="I150" s="81">
        <f t="shared" si="15"/>
        <v>498956</v>
      </c>
      <c r="J150" s="81">
        <f t="shared" si="15"/>
        <v>0</v>
      </c>
      <c r="K150" s="82">
        <f t="shared" si="14"/>
        <v>498956</v>
      </c>
    </row>
    <row r="151" spans="1:11" s="83" customFormat="1" ht="12.75">
      <c r="A151" s="75" t="s">
        <v>244</v>
      </c>
      <c r="B151" s="76">
        <v>2</v>
      </c>
      <c r="C151" s="77"/>
      <c r="D151" s="78" t="s">
        <v>65</v>
      </c>
      <c r="E151" s="79" t="s">
        <v>411</v>
      </c>
      <c r="F151" s="79" t="s">
        <v>461</v>
      </c>
      <c r="G151" s="79" t="s">
        <v>213</v>
      </c>
      <c r="H151" s="80" t="s">
        <v>216</v>
      </c>
      <c r="I151" s="81">
        <f t="shared" si="15"/>
        <v>498956</v>
      </c>
      <c r="J151" s="81">
        <f t="shared" si="15"/>
        <v>0</v>
      </c>
      <c r="K151" s="82">
        <f t="shared" si="14"/>
        <v>498956</v>
      </c>
    </row>
    <row r="152" spans="1:11" s="83" customFormat="1" ht="12.75" customHeight="1">
      <c r="A152" s="75" t="s">
        <v>255</v>
      </c>
      <c r="B152" s="76">
        <v>2</v>
      </c>
      <c r="C152" s="77"/>
      <c r="D152" s="78" t="s">
        <v>65</v>
      </c>
      <c r="E152" s="79" t="s">
        <v>411</v>
      </c>
      <c r="F152" s="79" t="s">
        <v>461</v>
      </c>
      <c r="G152" s="79" t="s">
        <v>213</v>
      </c>
      <c r="H152" s="80" t="s">
        <v>225</v>
      </c>
      <c r="I152" s="81">
        <f>498956</f>
        <v>498956</v>
      </c>
      <c r="J152" s="84">
        <v>0</v>
      </c>
      <c r="K152" s="82">
        <f t="shared" si="14"/>
        <v>498956</v>
      </c>
    </row>
    <row r="153" spans="1:11" s="83" customFormat="1" ht="36" customHeight="1">
      <c r="A153" s="75" t="s">
        <v>475</v>
      </c>
      <c r="B153" s="76"/>
      <c r="C153" s="77"/>
      <c r="D153" s="78" t="s">
        <v>65</v>
      </c>
      <c r="E153" s="79" t="s">
        <v>411</v>
      </c>
      <c r="F153" s="79" t="s">
        <v>474</v>
      </c>
      <c r="G153" s="79"/>
      <c r="H153" s="80"/>
      <c r="I153" s="81">
        <f aca="true" t="shared" si="16" ref="I153:J156">I154</f>
        <v>7088201</v>
      </c>
      <c r="J153" s="81">
        <f t="shared" si="16"/>
        <v>6051000</v>
      </c>
      <c r="K153" s="82">
        <f t="shared" si="14"/>
        <v>1037201</v>
      </c>
    </row>
    <row r="154" spans="1:11" s="83" customFormat="1" ht="34.5" customHeight="1">
      <c r="A154" s="75" t="s">
        <v>364</v>
      </c>
      <c r="B154" s="76"/>
      <c r="C154" s="77"/>
      <c r="D154" s="78" t="s">
        <v>65</v>
      </c>
      <c r="E154" s="79" t="s">
        <v>411</v>
      </c>
      <c r="F154" s="79" t="s">
        <v>474</v>
      </c>
      <c r="G154" s="79" t="s">
        <v>305</v>
      </c>
      <c r="H154" s="80"/>
      <c r="I154" s="81">
        <f t="shared" si="16"/>
        <v>7088201</v>
      </c>
      <c r="J154" s="81">
        <f t="shared" si="16"/>
        <v>6051000</v>
      </c>
      <c r="K154" s="82">
        <f t="shared" si="14"/>
        <v>1037201</v>
      </c>
    </row>
    <row r="155" spans="1:11" s="83" customFormat="1" ht="12.75" customHeight="1">
      <c r="A155" s="75" t="s">
        <v>243</v>
      </c>
      <c r="B155" s="76"/>
      <c r="C155" s="77"/>
      <c r="D155" s="78" t="s">
        <v>65</v>
      </c>
      <c r="E155" s="79" t="s">
        <v>411</v>
      </c>
      <c r="F155" s="79" t="s">
        <v>474</v>
      </c>
      <c r="G155" s="79" t="s">
        <v>305</v>
      </c>
      <c r="H155" s="80" t="s">
        <v>18</v>
      </c>
      <c r="I155" s="81">
        <f t="shared" si="16"/>
        <v>7088201</v>
      </c>
      <c r="J155" s="81">
        <f t="shared" si="16"/>
        <v>6051000</v>
      </c>
      <c r="K155" s="82">
        <f t="shared" si="14"/>
        <v>1037201</v>
      </c>
    </row>
    <row r="156" spans="1:11" s="83" customFormat="1" ht="23.25" customHeight="1">
      <c r="A156" s="75" t="s">
        <v>278</v>
      </c>
      <c r="B156" s="76"/>
      <c r="C156" s="77"/>
      <c r="D156" s="78" t="s">
        <v>65</v>
      </c>
      <c r="E156" s="79" t="s">
        <v>411</v>
      </c>
      <c r="F156" s="79" t="s">
        <v>474</v>
      </c>
      <c r="G156" s="79" t="s">
        <v>305</v>
      </c>
      <c r="H156" s="80" t="s">
        <v>232</v>
      </c>
      <c r="I156" s="81">
        <f t="shared" si="16"/>
        <v>7088201</v>
      </c>
      <c r="J156" s="81">
        <f t="shared" si="16"/>
        <v>6051000</v>
      </c>
      <c r="K156" s="82">
        <f t="shared" si="14"/>
        <v>1037201</v>
      </c>
    </row>
    <row r="157" spans="1:11" s="83" customFormat="1" ht="25.5" customHeight="1">
      <c r="A157" s="75" t="s">
        <v>282</v>
      </c>
      <c r="B157" s="76"/>
      <c r="C157" s="77"/>
      <c r="D157" s="78" t="s">
        <v>65</v>
      </c>
      <c r="E157" s="79" t="s">
        <v>411</v>
      </c>
      <c r="F157" s="79" t="s">
        <v>474</v>
      </c>
      <c r="G157" s="79" t="s">
        <v>305</v>
      </c>
      <c r="H157" s="80" t="s">
        <v>234</v>
      </c>
      <c r="I157" s="81">
        <v>7088201</v>
      </c>
      <c r="J157" s="81">
        <v>6051000</v>
      </c>
      <c r="K157" s="82">
        <f t="shared" si="14"/>
        <v>1037201</v>
      </c>
    </row>
    <row r="158" spans="1:11" s="83" customFormat="1" ht="55.5" customHeight="1">
      <c r="A158" s="75" t="s">
        <v>476</v>
      </c>
      <c r="B158" s="76"/>
      <c r="C158" s="77"/>
      <c r="D158" s="78" t="s">
        <v>65</v>
      </c>
      <c r="E158" s="79" t="s">
        <v>411</v>
      </c>
      <c r="F158" s="79" t="s">
        <v>477</v>
      </c>
      <c r="G158" s="79"/>
      <c r="H158" s="80"/>
      <c r="I158" s="81">
        <f aca="true" t="shared" si="17" ref="I158:J161">I159</f>
        <v>3004251</v>
      </c>
      <c r="J158" s="81">
        <f t="shared" si="17"/>
        <v>0</v>
      </c>
      <c r="K158" s="82">
        <f t="shared" si="7"/>
        <v>3004251</v>
      </c>
    </row>
    <row r="159" spans="1:11" s="83" customFormat="1" ht="25.5" customHeight="1">
      <c r="A159" s="75" t="s">
        <v>256</v>
      </c>
      <c r="B159" s="76"/>
      <c r="C159" s="77"/>
      <c r="D159" s="78" t="s">
        <v>65</v>
      </c>
      <c r="E159" s="79" t="s">
        <v>411</v>
      </c>
      <c r="F159" s="79" t="s">
        <v>477</v>
      </c>
      <c r="G159" s="79" t="s">
        <v>213</v>
      </c>
      <c r="H159" s="80"/>
      <c r="I159" s="81">
        <f t="shared" si="17"/>
        <v>3004251</v>
      </c>
      <c r="J159" s="81">
        <f t="shared" si="17"/>
        <v>0</v>
      </c>
      <c r="K159" s="82">
        <f t="shared" si="7"/>
        <v>3004251</v>
      </c>
    </row>
    <row r="160" spans="1:11" s="83" customFormat="1" ht="25.5" customHeight="1">
      <c r="A160" s="75" t="s">
        <v>243</v>
      </c>
      <c r="B160" s="76"/>
      <c r="C160" s="77"/>
      <c r="D160" s="78" t="s">
        <v>65</v>
      </c>
      <c r="E160" s="79" t="s">
        <v>411</v>
      </c>
      <c r="F160" s="79" t="s">
        <v>477</v>
      </c>
      <c r="G160" s="79" t="s">
        <v>213</v>
      </c>
      <c r="H160" s="80" t="s">
        <v>18</v>
      </c>
      <c r="I160" s="81">
        <f t="shared" si="17"/>
        <v>3004251</v>
      </c>
      <c r="J160" s="81">
        <f t="shared" si="17"/>
        <v>0</v>
      </c>
      <c r="K160" s="82">
        <f t="shared" si="7"/>
        <v>3004251</v>
      </c>
    </row>
    <row r="161" spans="1:11" s="83" customFormat="1" ht="25.5" customHeight="1">
      <c r="A161" s="75" t="s">
        <v>244</v>
      </c>
      <c r="B161" s="76"/>
      <c r="C161" s="77"/>
      <c r="D161" s="78" t="s">
        <v>65</v>
      </c>
      <c r="E161" s="79" t="s">
        <v>411</v>
      </c>
      <c r="F161" s="79" t="s">
        <v>477</v>
      </c>
      <c r="G161" s="79" t="s">
        <v>213</v>
      </c>
      <c r="H161" s="80" t="s">
        <v>216</v>
      </c>
      <c r="I161" s="81">
        <f t="shared" si="17"/>
        <v>3004251</v>
      </c>
      <c r="J161" s="81">
        <f t="shared" si="17"/>
        <v>0</v>
      </c>
      <c r="K161" s="82">
        <f t="shared" si="7"/>
        <v>3004251</v>
      </c>
    </row>
    <row r="162" spans="1:11" s="83" customFormat="1" ht="25.5" customHeight="1">
      <c r="A162" s="75" t="s">
        <v>255</v>
      </c>
      <c r="B162" s="76"/>
      <c r="C162" s="77"/>
      <c r="D162" s="78" t="s">
        <v>65</v>
      </c>
      <c r="E162" s="79" t="s">
        <v>411</v>
      </c>
      <c r="F162" s="79" t="s">
        <v>477</v>
      </c>
      <c r="G162" s="79" t="s">
        <v>213</v>
      </c>
      <c r="H162" s="80" t="s">
        <v>225</v>
      </c>
      <c r="I162" s="81">
        <f>3004251</f>
        <v>3004251</v>
      </c>
      <c r="J162" s="81">
        <f>0</f>
        <v>0</v>
      </c>
      <c r="K162" s="82">
        <f t="shared" si="7"/>
        <v>3004251</v>
      </c>
    </row>
    <row r="163" spans="1:11" s="83" customFormat="1" ht="12.75" customHeight="1">
      <c r="A163" s="75" t="s">
        <v>275</v>
      </c>
      <c r="B163" s="76">
        <v>2</v>
      </c>
      <c r="C163" s="77"/>
      <c r="D163" s="78" t="s">
        <v>65</v>
      </c>
      <c r="E163" s="79" t="s">
        <v>185</v>
      </c>
      <c r="F163" s="79" t="s">
        <v>178</v>
      </c>
      <c r="G163" s="79" t="s">
        <v>178</v>
      </c>
      <c r="H163" s="80" t="s">
        <v>178</v>
      </c>
      <c r="I163" s="81">
        <f aca="true" t="shared" si="18" ref="I163:J167">I164</f>
        <v>300000</v>
      </c>
      <c r="J163" s="81">
        <f t="shared" si="18"/>
        <v>0</v>
      </c>
      <c r="K163" s="82">
        <f t="shared" si="7"/>
        <v>300000</v>
      </c>
    </row>
    <row r="164" spans="1:11" s="83" customFormat="1" ht="12.75" customHeight="1">
      <c r="A164" s="75" t="s">
        <v>276</v>
      </c>
      <c r="B164" s="76">
        <v>2</v>
      </c>
      <c r="C164" s="77"/>
      <c r="D164" s="78" t="s">
        <v>65</v>
      </c>
      <c r="E164" s="79" t="s">
        <v>185</v>
      </c>
      <c r="F164" s="79" t="s">
        <v>202</v>
      </c>
      <c r="G164" s="79" t="s">
        <v>178</v>
      </c>
      <c r="H164" s="80" t="s">
        <v>178</v>
      </c>
      <c r="I164" s="81">
        <f t="shared" si="18"/>
        <v>300000</v>
      </c>
      <c r="J164" s="81">
        <f t="shared" si="18"/>
        <v>0</v>
      </c>
      <c r="K164" s="82">
        <f t="shared" si="7"/>
        <v>300000</v>
      </c>
    </row>
    <row r="165" spans="1:11" s="83" customFormat="1" ht="12.75" customHeight="1">
      <c r="A165" s="75" t="s">
        <v>256</v>
      </c>
      <c r="B165" s="76">
        <v>2</v>
      </c>
      <c r="C165" s="77"/>
      <c r="D165" s="78" t="s">
        <v>65</v>
      </c>
      <c r="E165" s="79" t="s">
        <v>185</v>
      </c>
      <c r="F165" s="79" t="s">
        <v>202</v>
      </c>
      <c r="G165" s="79" t="s">
        <v>213</v>
      </c>
      <c r="H165" s="80" t="s">
        <v>178</v>
      </c>
      <c r="I165" s="81">
        <f t="shared" si="18"/>
        <v>300000</v>
      </c>
      <c r="J165" s="81">
        <f t="shared" si="18"/>
        <v>0</v>
      </c>
      <c r="K165" s="82">
        <f t="shared" si="7"/>
        <v>300000</v>
      </c>
    </row>
    <row r="166" spans="1:11" s="83" customFormat="1" ht="12.75">
      <c r="A166" s="75" t="s">
        <v>243</v>
      </c>
      <c r="B166" s="76">
        <v>2</v>
      </c>
      <c r="C166" s="77"/>
      <c r="D166" s="78" t="s">
        <v>65</v>
      </c>
      <c r="E166" s="79" t="s">
        <v>185</v>
      </c>
      <c r="F166" s="79" t="s">
        <v>202</v>
      </c>
      <c r="G166" s="79" t="s">
        <v>213</v>
      </c>
      <c r="H166" s="80" t="s">
        <v>18</v>
      </c>
      <c r="I166" s="81">
        <f t="shared" si="18"/>
        <v>300000</v>
      </c>
      <c r="J166" s="81">
        <f t="shared" si="18"/>
        <v>0</v>
      </c>
      <c r="K166" s="82">
        <f t="shared" si="7"/>
        <v>300000</v>
      </c>
    </row>
    <row r="167" spans="1:11" s="83" customFormat="1" ht="12.75">
      <c r="A167" s="75" t="s">
        <v>244</v>
      </c>
      <c r="B167" s="76">
        <v>2</v>
      </c>
      <c r="C167" s="77"/>
      <c r="D167" s="78" t="s">
        <v>65</v>
      </c>
      <c r="E167" s="79" t="s">
        <v>185</v>
      </c>
      <c r="F167" s="79" t="s">
        <v>202</v>
      </c>
      <c r="G167" s="79" t="s">
        <v>213</v>
      </c>
      <c r="H167" s="80" t="s">
        <v>216</v>
      </c>
      <c r="I167" s="81">
        <f t="shared" si="18"/>
        <v>300000</v>
      </c>
      <c r="J167" s="81">
        <f t="shared" si="18"/>
        <v>0</v>
      </c>
      <c r="K167" s="82">
        <f t="shared" si="7"/>
        <v>300000</v>
      </c>
    </row>
    <row r="168" spans="1:11" s="83" customFormat="1" ht="12.75">
      <c r="A168" s="75" t="s">
        <v>245</v>
      </c>
      <c r="B168" s="76">
        <v>2</v>
      </c>
      <c r="C168" s="77"/>
      <c r="D168" s="78" t="s">
        <v>65</v>
      </c>
      <c r="E168" s="79" t="s">
        <v>185</v>
      </c>
      <c r="F168" s="79" t="s">
        <v>202</v>
      </c>
      <c r="G168" s="79" t="s">
        <v>213</v>
      </c>
      <c r="H168" s="80" t="s">
        <v>217</v>
      </c>
      <c r="I168" s="81">
        <f>300000</f>
        <v>300000</v>
      </c>
      <c r="J168" s="84">
        <v>0</v>
      </c>
      <c r="K168" s="82">
        <f t="shared" si="7"/>
        <v>300000</v>
      </c>
    </row>
    <row r="169" spans="1:11" s="83" customFormat="1" ht="12.75">
      <c r="A169" s="75" t="s">
        <v>277</v>
      </c>
      <c r="B169" s="76">
        <v>2</v>
      </c>
      <c r="C169" s="77"/>
      <c r="D169" s="78" t="s">
        <v>65</v>
      </c>
      <c r="E169" s="79" t="s">
        <v>186</v>
      </c>
      <c r="F169" s="79" t="s">
        <v>178</v>
      </c>
      <c r="G169" s="79" t="s">
        <v>178</v>
      </c>
      <c r="H169" s="80" t="s">
        <v>178</v>
      </c>
      <c r="I169" s="81">
        <f>I170+I175</f>
        <v>1761550</v>
      </c>
      <c r="J169" s="81">
        <f>J170+J175</f>
        <v>287562.86</v>
      </c>
      <c r="K169" s="82">
        <f t="shared" si="7"/>
        <v>1473987.1400000001</v>
      </c>
    </row>
    <row r="170" spans="1:11" s="83" customFormat="1" ht="56.25">
      <c r="A170" s="75" t="s">
        <v>363</v>
      </c>
      <c r="B170" s="76">
        <v>2</v>
      </c>
      <c r="C170" s="77"/>
      <c r="D170" s="78" t="s">
        <v>65</v>
      </c>
      <c r="E170" s="79" t="s">
        <v>186</v>
      </c>
      <c r="F170" s="79" t="s">
        <v>348</v>
      </c>
      <c r="G170" s="79" t="s">
        <v>178</v>
      </c>
      <c r="H170" s="80" t="s">
        <v>178</v>
      </c>
      <c r="I170" s="81">
        <f aca="true" t="shared" si="19" ref="I170:J173">I171</f>
        <v>440000</v>
      </c>
      <c r="J170" s="81">
        <f t="shared" si="19"/>
        <v>0</v>
      </c>
      <c r="K170" s="82">
        <f t="shared" si="7"/>
        <v>440000</v>
      </c>
    </row>
    <row r="171" spans="1:11" s="83" customFormat="1" ht="33.75">
      <c r="A171" s="75" t="s">
        <v>364</v>
      </c>
      <c r="B171" s="76">
        <v>2</v>
      </c>
      <c r="C171" s="77"/>
      <c r="D171" s="78" t="s">
        <v>65</v>
      </c>
      <c r="E171" s="79" t="s">
        <v>186</v>
      </c>
      <c r="F171" s="79" t="s">
        <v>348</v>
      </c>
      <c r="G171" s="79" t="s">
        <v>305</v>
      </c>
      <c r="H171" s="80" t="s">
        <v>178</v>
      </c>
      <c r="I171" s="81">
        <f t="shared" si="19"/>
        <v>440000</v>
      </c>
      <c r="J171" s="81">
        <f t="shared" si="19"/>
        <v>0</v>
      </c>
      <c r="K171" s="82">
        <f t="shared" si="7"/>
        <v>440000</v>
      </c>
    </row>
    <row r="172" spans="1:11" s="83" customFormat="1" ht="12.75">
      <c r="A172" s="75" t="s">
        <v>243</v>
      </c>
      <c r="B172" s="76">
        <v>2</v>
      </c>
      <c r="C172" s="77"/>
      <c r="D172" s="78" t="s">
        <v>65</v>
      </c>
      <c r="E172" s="79" t="s">
        <v>186</v>
      </c>
      <c r="F172" s="79" t="s">
        <v>348</v>
      </c>
      <c r="G172" s="79" t="s">
        <v>305</v>
      </c>
      <c r="H172" s="80" t="s">
        <v>18</v>
      </c>
      <c r="I172" s="81">
        <f t="shared" si="19"/>
        <v>440000</v>
      </c>
      <c r="J172" s="81">
        <f t="shared" si="19"/>
        <v>0</v>
      </c>
      <c r="K172" s="82">
        <f t="shared" si="7"/>
        <v>440000</v>
      </c>
    </row>
    <row r="173" spans="1:11" s="83" customFormat="1" ht="22.5">
      <c r="A173" s="75" t="s">
        <v>278</v>
      </c>
      <c r="B173" s="76">
        <v>2</v>
      </c>
      <c r="C173" s="77"/>
      <c r="D173" s="78" t="s">
        <v>65</v>
      </c>
      <c r="E173" s="79" t="s">
        <v>186</v>
      </c>
      <c r="F173" s="79" t="s">
        <v>348</v>
      </c>
      <c r="G173" s="79" t="s">
        <v>305</v>
      </c>
      <c r="H173" s="80" t="s">
        <v>232</v>
      </c>
      <c r="I173" s="81">
        <f t="shared" si="19"/>
        <v>440000</v>
      </c>
      <c r="J173" s="81">
        <f t="shared" si="19"/>
        <v>0</v>
      </c>
      <c r="K173" s="82">
        <f t="shared" si="7"/>
        <v>440000</v>
      </c>
    </row>
    <row r="174" spans="1:11" s="83" customFormat="1" ht="33.75">
      <c r="A174" s="75" t="s">
        <v>279</v>
      </c>
      <c r="B174" s="76">
        <v>2</v>
      </c>
      <c r="C174" s="77"/>
      <c r="D174" s="78" t="s">
        <v>65</v>
      </c>
      <c r="E174" s="79" t="s">
        <v>186</v>
      </c>
      <c r="F174" s="79" t="s">
        <v>348</v>
      </c>
      <c r="G174" s="79" t="s">
        <v>305</v>
      </c>
      <c r="H174" s="80" t="s">
        <v>233</v>
      </c>
      <c r="I174" s="81">
        <f>440000</f>
        <v>440000</v>
      </c>
      <c r="J174" s="84">
        <v>0</v>
      </c>
      <c r="K174" s="82">
        <f t="shared" si="7"/>
        <v>440000</v>
      </c>
    </row>
    <row r="175" spans="1:11" s="83" customFormat="1" ht="21.75" customHeight="1">
      <c r="A175" s="75" t="s">
        <v>365</v>
      </c>
      <c r="B175" s="76">
        <v>2</v>
      </c>
      <c r="C175" s="77"/>
      <c r="D175" s="78" t="s">
        <v>65</v>
      </c>
      <c r="E175" s="79" t="s">
        <v>186</v>
      </c>
      <c r="F175" s="79" t="s">
        <v>203</v>
      </c>
      <c r="G175" s="79" t="s">
        <v>178</v>
      </c>
      <c r="H175" s="80" t="s">
        <v>178</v>
      </c>
      <c r="I175" s="81">
        <f aca="true" t="shared" si="20" ref="I175:J178">I176</f>
        <v>1321550</v>
      </c>
      <c r="J175" s="81">
        <f t="shared" si="20"/>
        <v>287562.86</v>
      </c>
      <c r="K175" s="82">
        <f t="shared" si="7"/>
        <v>1033987.14</v>
      </c>
    </row>
    <row r="176" spans="1:11" s="83" customFormat="1" ht="34.5" customHeight="1">
      <c r="A176" s="75" t="s">
        <v>364</v>
      </c>
      <c r="B176" s="76">
        <v>2</v>
      </c>
      <c r="C176" s="77"/>
      <c r="D176" s="78" t="s">
        <v>65</v>
      </c>
      <c r="E176" s="79" t="s">
        <v>186</v>
      </c>
      <c r="F176" s="79" t="s">
        <v>203</v>
      </c>
      <c r="G176" s="79" t="s">
        <v>305</v>
      </c>
      <c r="H176" s="80" t="s">
        <v>178</v>
      </c>
      <c r="I176" s="81">
        <f t="shared" si="20"/>
        <v>1321550</v>
      </c>
      <c r="J176" s="81">
        <f t="shared" si="20"/>
        <v>287562.86</v>
      </c>
      <c r="K176" s="82">
        <f t="shared" si="7"/>
        <v>1033987.14</v>
      </c>
    </row>
    <row r="177" spans="1:11" s="83" customFormat="1" ht="12.75">
      <c r="A177" s="75" t="s">
        <v>243</v>
      </c>
      <c r="B177" s="76">
        <v>2</v>
      </c>
      <c r="C177" s="77"/>
      <c r="D177" s="78" t="s">
        <v>65</v>
      </c>
      <c r="E177" s="79" t="s">
        <v>186</v>
      </c>
      <c r="F177" s="79" t="s">
        <v>203</v>
      </c>
      <c r="G177" s="79" t="s">
        <v>305</v>
      </c>
      <c r="H177" s="80" t="s">
        <v>18</v>
      </c>
      <c r="I177" s="81">
        <f t="shared" si="20"/>
        <v>1321550</v>
      </c>
      <c r="J177" s="81">
        <f t="shared" si="20"/>
        <v>287562.86</v>
      </c>
      <c r="K177" s="82">
        <f t="shared" si="7"/>
        <v>1033987.14</v>
      </c>
    </row>
    <row r="178" spans="1:11" s="83" customFormat="1" ht="23.25" customHeight="1">
      <c r="A178" s="75" t="s">
        <v>278</v>
      </c>
      <c r="B178" s="76">
        <v>2</v>
      </c>
      <c r="C178" s="77"/>
      <c r="D178" s="78" t="s">
        <v>65</v>
      </c>
      <c r="E178" s="79" t="s">
        <v>186</v>
      </c>
      <c r="F178" s="79" t="s">
        <v>203</v>
      </c>
      <c r="G178" s="79" t="s">
        <v>305</v>
      </c>
      <c r="H178" s="80" t="s">
        <v>232</v>
      </c>
      <c r="I178" s="81">
        <f t="shared" si="20"/>
        <v>1321550</v>
      </c>
      <c r="J178" s="81">
        <f t="shared" si="20"/>
        <v>287562.86</v>
      </c>
      <c r="K178" s="82">
        <f t="shared" si="7"/>
        <v>1033987.14</v>
      </c>
    </row>
    <row r="179" spans="1:11" s="83" customFormat="1" ht="34.5" customHeight="1">
      <c r="A179" s="75" t="s">
        <v>279</v>
      </c>
      <c r="B179" s="76">
        <v>2</v>
      </c>
      <c r="C179" s="77"/>
      <c r="D179" s="78" t="s">
        <v>65</v>
      </c>
      <c r="E179" s="79" t="s">
        <v>186</v>
      </c>
      <c r="F179" s="79" t="s">
        <v>203</v>
      </c>
      <c r="G179" s="79" t="s">
        <v>305</v>
      </c>
      <c r="H179" s="80" t="s">
        <v>233</v>
      </c>
      <c r="I179" s="81">
        <f>1321550</f>
        <v>1321550</v>
      </c>
      <c r="J179" s="84">
        <v>287562.86</v>
      </c>
      <c r="K179" s="82">
        <f t="shared" si="7"/>
        <v>1033987.14</v>
      </c>
    </row>
    <row r="180" spans="1:11" s="83" customFormat="1" ht="12.75">
      <c r="A180" s="75" t="s">
        <v>280</v>
      </c>
      <c r="B180" s="76">
        <v>2</v>
      </c>
      <c r="C180" s="77"/>
      <c r="D180" s="78" t="s">
        <v>65</v>
      </c>
      <c r="E180" s="79" t="s">
        <v>187</v>
      </c>
      <c r="F180" s="79" t="s">
        <v>178</v>
      </c>
      <c r="G180" s="79" t="s">
        <v>178</v>
      </c>
      <c r="H180" s="80" t="s">
        <v>178</v>
      </c>
      <c r="I180" s="81">
        <f>I220+I225+I181+I205+I215+I210</f>
        <v>12685774.82</v>
      </c>
      <c r="J180" s="81">
        <f>J220+J225+J181+J205+J215+J210</f>
        <v>10442049.64</v>
      </c>
      <c r="K180" s="82">
        <f t="shared" si="7"/>
        <v>2243725.1799999997</v>
      </c>
    </row>
    <row r="181" spans="1:11" s="83" customFormat="1" ht="12.75" customHeight="1">
      <c r="A181" s="75" t="s">
        <v>281</v>
      </c>
      <c r="B181" s="76">
        <v>2</v>
      </c>
      <c r="C181" s="77"/>
      <c r="D181" s="78" t="s">
        <v>65</v>
      </c>
      <c r="E181" s="79" t="s">
        <v>187</v>
      </c>
      <c r="F181" s="79" t="s">
        <v>204</v>
      </c>
      <c r="G181" s="79" t="s">
        <v>178</v>
      </c>
      <c r="H181" s="80" t="s">
        <v>178</v>
      </c>
      <c r="I181" s="81">
        <f>I190+I187</f>
        <v>2373970.43</v>
      </c>
      <c r="J181" s="81">
        <f>J187+J191</f>
        <v>130245.25</v>
      </c>
      <c r="K181" s="82">
        <f t="shared" si="7"/>
        <v>2243725.18</v>
      </c>
    </row>
    <row r="182" spans="1:11" s="83" customFormat="1" ht="34.5" customHeight="1" hidden="1">
      <c r="A182" s="75" t="s">
        <v>364</v>
      </c>
      <c r="B182" s="76">
        <v>2</v>
      </c>
      <c r="C182" s="77"/>
      <c r="D182" s="78" t="s">
        <v>65</v>
      </c>
      <c r="E182" s="79" t="s">
        <v>187</v>
      </c>
      <c r="F182" s="79" t="s">
        <v>204</v>
      </c>
      <c r="G182" s="79" t="s">
        <v>213</v>
      </c>
      <c r="H182" s="80" t="s">
        <v>178</v>
      </c>
      <c r="I182" s="81">
        <f>I183</f>
        <v>0</v>
      </c>
      <c r="J182" s="81">
        <f>J183</f>
        <v>0</v>
      </c>
      <c r="K182" s="82">
        <f>IF(ISNUMBER(I182),I182,0)-IF(ISNUMBER(J182),J182,0)</f>
        <v>0</v>
      </c>
    </row>
    <row r="183" spans="1:11" s="83" customFormat="1" ht="12.75" hidden="1">
      <c r="A183" s="75" t="s">
        <v>243</v>
      </c>
      <c r="B183" s="76">
        <v>2</v>
      </c>
      <c r="C183" s="77"/>
      <c r="D183" s="78" t="s">
        <v>65</v>
      </c>
      <c r="E183" s="79" t="s">
        <v>187</v>
      </c>
      <c r="F183" s="79" t="s">
        <v>204</v>
      </c>
      <c r="G183" s="79" t="s">
        <v>213</v>
      </c>
      <c r="H183" s="80" t="s">
        <v>18</v>
      </c>
      <c r="I183" s="81">
        <f>I184</f>
        <v>0</v>
      </c>
      <c r="J183" s="81">
        <f>J184</f>
        <v>0</v>
      </c>
      <c r="K183" s="82">
        <f>IF(ISNUMBER(I183),I183,0)-IF(ISNUMBER(J183),J183,0)</f>
        <v>0</v>
      </c>
    </row>
    <row r="184" spans="1:11" s="83" customFormat="1" ht="23.25" customHeight="1" hidden="1">
      <c r="A184" s="75" t="s">
        <v>278</v>
      </c>
      <c r="B184" s="76">
        <v>2</v>
      </c>
      <c r="C184" s="77"/>
      <c r="D184" s="78" t="s">
        <v>65</v>
      </c>
      <c r="E184" s="79" t="s">
        <v>187</v>
      </c>
      <c r="F184" s="79" t="s">
        <v>204</v>
      </c>
      <c r="G184" s="79" t="s">
        <v>213</v>
      </c>
      <c r="H184" s="80" t="s">
        <v>216</v>
      </c>
      <c r="I184" s="81">
        <f>I186+I185</f>
        <v>0</v>
      </c>
      <c r="J184" s="81">
        <f>J186+J185</f>
        <v>0</v>
      </c>
      <c r="K184" s="82">
        <f>IF(ISNUMBER(I184),I184,0)-IF(ISNUMBER(J184),J184,0)</f>
        <v>0</v>
      </c>
    </row>
    <row r="185" spans="1:11" s="83" customFormat="1" ht="12" customHeight="1" hidden="1">
      <c r="A185" s="75" t="s">
        <v>255</v>
      </c>
      <c r="B185" s="76">
        <v>2</v>
      </c>
      <c r="C185" s="77"/>
      <c r="D185" s="78" t="s">
        <v>65</v>
      </c>
      <c r="E185" s="79" t="s">
        <v>187</v>
      </c>
      <c r="F185" s="79" t="s">
        <v>204</v>
      </c>
      <c r="G185" s="79" t="s">
        <v>213</v>
      </c>
      <c r="H185" s="80" t="s">
        <v>225</v>
      </c>
      <c r="I185" s="81">
        <f>0</f>
        <v>0</v>
      </c>
      <c r="J185" s="84">
        <v>0</v>
      </c>
      <c r="K185" s="82">
        <f>IF(ISNUMBER(I185),I185,0)-IF(ISNUMBER(J185),J185,0)</f>
        <v>0</v>
      </c>
    </row>
    <row r="186" spans="1:11" s="83" customFormat="1" ht="22.5" customHeight="1" hidden="1">
      <c r="A186" s="75" t="s">
        <v>282</v>
      </c>
      <c r="B186" s="76">
        <v>2</v>
      </c>
      <c r="C186" s="77"/>
      <c r="D186" s="78" t="s">
        <v>65</v>
      </c>
      <c r="E186" s="79" t="s">
        <v>187</v>
      </c>
      <c r="F186" s="79" t="s">
        <v>204</v>
      </c>
      <c r="G186" s="79" t="s">
        <v>213</v>
      </c>
      <c r="H186" s="80" t="s">
        <v>217</v>
      </c>
      <c r="I186" s="81">
        <f>0</f>
        <v>0</v>
      </c>
      <c r="J186" s="84">
        <v>0</v>
      </c>
      <c r="K186" s="82">
        <f>IF(ISNUMBER(I186),I186,0)-IF(ISNUMBER(J186),J186,0)</f>
        <v>0</v>
      </c>
    </row>
    <row r="187" spans="1:11" s="83" customFormat="1" ht="16.5" customHeight="1">
      <c r="A187" s="75" t="s">
        <v>243</v>
      </c>
      <c r="B187" s="76"/>
      <c r="C187" s="77"/>
      <c r="D187" s="78" t="s">
        <v>65</v>
      </c>
      <c r="E187" s="79" t="s">
        <v>187</v>
      </c>
      <c r="F187" s="79" t="s">
        <v>204</v>
      </c>
      <c r="G187" s="79" t="s">
        <v>213</v>
      </c>
      <c r="H187" s="80" t="s">
        <v>18</v>
      </c>
      <c r="I187" s="81">
        <f>I188</f>
        <v>9251.2</v>
      </c>
      <c r="J187" s="81">
        <f>J188</f>
        <v>9251.2</v>
      </c>
      <c r="K187" s="82">
        <f t="shared" si="7"/>
        <v>0</v>
      </c>
    </row>
    <row r="188" spans="1:11" s="83" customFormat="1" ht="17.25" customHeight="1">
      <c r="A188" s="75" t="s">
        <v>244</v>
      </c>
      <c r="B188" s="76"/>
      <c r="C188" s="77"/>
      <c r="D188" s="78" t="s">
        <v>65</v>
      </c>
      <c r="E188" s="79" t="s">
        <v>187</v>
      </c>
      <c r="F188" s="79" t="s">
        <v>204</v>
      </c>
      <c r="G188" s="79" t="s">
        <v>213</v>
      </c>
      <c r="H188" s="80" t="s">
        <v>216</v>
      </c>
      <c r="I188" s="81">
        <f>I189</f>
        <v>9251.2</v>
      </c>
      <c r="J188" s="81">
        <f>J189</f>
        <v>9251.2</v>
      </c>
      <c r="K188" s="82">
        <f t="shared" si="7"/>
        <v>0</v>
      </c>
    </row>
    <row r="189" spans="1:11" s="83" customFormat="1" ht="18" customHeight="1">
      <c r="A189" s="75" t="s">
        <v>245</v>
      </c>
      <c r="B189" s="76"/>
      <c r="C189" s="77"/>
      <c r="D189" s="78" t="s">
        <v>65</v>
      </c>
      <c r="E189" s="79" t="s">
        <v>187</v>
      </c>
      <c r="F189" s="79" t="s">
        <v>204</v>
      </c>
      <c r="G189" s="79" t="s">
        <v>213</v>
      </c>
      <c r="H189" s="80" t="s">
        <v>217</v>
      </c>
      <c r="I189" s="81">
        <v>9251.2</v>
      </c>
      <c r="J189" s="81">
        <v>9251.2</v>
      </c>
      <c r="K189" s="82">
        <f t="shared" si="7"/>
        <v>0</v>
      </c>
    </row>
    <row r="190" spans="1:11" s="83" customFormat="1" ht="34.5" customHeight="1">
      <c r="A190" s="75" t="s">
        <v>364</v>
      </c>
      <c r="B190" s="76">
        <v>2</v>
      </c>
      <c r="C190" s="77"/>
      <c r="D190" s="78" t="s">
        <v>65</v>
      </c>
      <c r="E190" s="79" t="s">
        <v>187</v>
      </c>
      <c r="F190" s="79" t="s">
        <v>204</v>
      </c>
      <c r="G190" s="79" t="s">
        <v>305</v>
      </c>
      <c r="H190" s="80" t="s">
        <v>178</v>
      </c>
      <c r="I190" s="81">
        <f aca="true" t="shared" si="21" ref="I190:J192">I191</f>
        <v>2364719.23</v>
      </c>
      <c r="J190" s="81">
        <f t="shared" si="21"/>
        <v>120994.05</v>
      </c>
      <c r="K190" s="82">
        <f t="shared" si="7"/>
        <v>2243725.18</v>
      </c>
    </row>
    <row r="191" spans="1:11" s="83" customFormat="1" ht="12.75">
      <c r="A191" s="75" t="s">
        <v>243</v>
      </c>
      <c r="B191" s="76">
        <v>2</v>
      </c>
      <c r="C191" s="77"/>
      <c r="D191" s="78" t="s">
        <v>65</v>
      </c>
      <c r="E191" s="79" t="s">
        <v>187</v>
      </c>
      <c r="F191" s="79" t="s">
        <v>204</v>
      </c>
      <c r="G191" s="79" t="s">
        <v>305</v>
      </c>
      <c r="H191" s="80" t="s">
        <v>18</v>
      </c>
      <c r="I191" s="81">
        <f t="shared" si="21"/>
        <v>2364719.23</v>
      </c>
      <c r="J191" s="81">
        <f t="shared" si="21"/>
        <v>120994.05</v>
      </c>
      <c r="K191" s="82">
        <f t="shared" si="7"/>
        <v>2243725.18</v>
      </c>
    </row>
    <row r="192" spans="1:11" s="83" customFormat="1" ht="23.25" customHeight="1">
      <c r="A192" s="75" t="s">
        <v>278</v>
      </c>
      <c r="B192" s="76">
        <v>2</v>
      </c>
      <c r="C192" s="77"/>
      <c r="D192" s="78" t="s">
        <v>65</v>
      </c>
      <c r="E192" s="79" t="s">
        <v>187</v>
      </c>
      <c r="F192" s="79" t="s">
        <v>204</v>
      </c>
      <c r="G192" s="79" t="s">
        <v>305</v>
      </c>
      <c r="H192" s="80" t="s">
        <v>232</v>
      </c>
      <c r="I192" s="81">
        <f t="shared" si="21"/>
        <v>2364719.23</v>
      </c>
      <c r="J192" s="81">
        <f t="shared" si="21"/>
        <v>120994.05</v>
      </c>
      <c r="K192" s="82">
        <f t="shared" si="7"/>
        <v>2243725.18</v>
      </c>
    </row>
    <row r="193" spans="1:11" s="83" customFormat="1" ht="22.5" customHeight="1">
      <c r="A193" s="75" t="s">
        <v>282</v>
      </c>
      <c r="B193" s="76">
        <v>2</v>
      </c>
      <c r="C193" s="77"/>
      <c r="D193" s="78" t="s">
        <v>65</v>
      </c>
      <c r="E193" s="79" t="s">
        <v>187</v>
      </c>
      <c r="F193" s="79" t="s">
        <v>204</v>
      </c>
      <c r="G193" s="79" t="s">
        <v>305</v>
      </c>
      <c r="H193" s="80" t="s">
        <v>234</v>
      </c>
      <c r="I193" s="81">
        <v>2364719.23</v>
      </c>
      <c r="J193" s="84">
        <v>120994.05</v>
      </c>
      <c r="K193" s="82">
        <f t="shared" si="7"/>
        <v>2243725.18</v>
      </c>
    </row>
    <row r="194" spans="1:11" s="83" customFormat="1" ht="22.5" hidden="1">
      <c r="A194" s="75" t="s">
        <v>242</v>
      </c>
      <c r="B194" s="76">
        <v>2</v>
      </c>
      <c r="C194" s="77"/>
      <c r="D194" s="78" t="s">
        <v>65</v>
      </c>
      <c r="E194" s="79" t="s">
        <v>187</v>
      </c>
      <c r="F194" s="79" t="s">
        <v>204</v>
      </c>
      <c r="G194" s="79" t="s">
        <v>19</v>
      </c>
      <c r="H194" s="80" t="s">
        <v>178</v>
      </c>
      <c r="I194" s="81"/>
      <c r="J194" s="84"/>
      <c r="K194" s="82">
        <f t="shared" si="7"/>
        <v>0</v>
      </c>
    </row>
    <row r="195" spans="1:11" s="83" customFormat="1" ht="12.75" hidden="1">
      <c r="A195" s="75" t="s">
        <v>243</v>
      </c>
      <c r="B195" s="76">
        <v>2</v>
      </c>
      <c r="C195" s="77"/>
      <c r="D195" s="78" t="s">
        <v>65</v>
      </c>
      <c r="E195" s="79" t="s">
        <v>187</v>
      </c>
      <c r="F195" s="79" t="s">
        <v>204</v>
      </c>
      <c r="G195" s="79" t="s">
        <v>19</v>
      </c>
      <c r="H195" s="80" t="s">
        <v>18</v>
      </c>
      <c r="I195" s="81"/>
      <c r="J195" s="84"/>
      <c r="K195" s="82">
        <f t="shared" si="7"/>
        <v>0</v>
      </c>
    </row>
    <row r="196" spans="1:11" s="83" customFormat="1" ht="12.75" hidden="1">
      <c r="A196" s="75" t="s">
        <v>244</v>
      </c>
      <c r="B196" s="76">
        <v>2</v>
      </c>
      <c r="C196" s="77"/>
      <c r="D196" s="78" t="s">
        <v>65</v>
      </c>
      <c r="E196" s="79" t="s">
        <v>187</v>
      </c>
      <c r="F196" s="79" t="s">
        <v>204</v>
      </c>
      <c r="G196" s="79" t="s">
        <v>19</v>
      </c>
      <c r="H196" s="80" t="s">
        <v>216</v>
      </c>
      <c r="I196" s="81"/>
      <c r="J196" s="84"/>
      <c r="K196" s="82">
        <f aca="true" t="shared" si="22" ref="K196:K235">IF(ISNUMBER(I196),I196,0)-IF(ISNUMBER(J196),J196,0)</f>
        <v>0</v>
      </c>
    </row>
    <row r="197" spans="1:11" s="83" customFormat="1" ht="12.75" hidden="1">
      <c r="A197" s="75" t="s">
        <v>255</v>
      </c>
      <c r="B197" s="76">
        <v>2</v>
      </c>
      <c r="C197" s="77"/>
      <c r="D197" s="78" t="s">
        <v>65</v>
      </c>
      <c r="E197" s="79" t="s">
        <v>187</v>
      </c>
      <c r="F197" s="79" t="s">
        <v>204</v>
      </c>
      <c r="G197" s="79" t="s">
        <v>19</v>
      </c>
      <c r="H197" s="80" t="s">
        <v>225</v>
      </c>
      <c r="I197" s="81"/>
      <c r="J197" s="84"/>
      <c r="K197" s="82">
        <f t="shared" si="22"/>
        <v>0</v>
      </c>
    </row>
    <row r="198" spans="1:11" s="83" customFormat="1" ht="12.75" hidden="1">
      <c r="A198" s="75" t="s">
        <v>245</v>
      </c>
      <c r="B198" s="76">
        <v>2</v>
      </c>
      <c r="C198" s="77"/>
      <c r="D198" s="78" t="s">
        <v>65</v>
      </c>
      <c r="E198" s="79" t="s">
        <v>187</v>
      </c>
      <c r="F198" s="79" t="s">
        <v>204</v>
      </c>
      <c r="G198" s="79" t="s">
        <v>19</v>
      </c>
      <c r="H198" s="80" t="s">
        <v>217</v>
      </c>
      <c r="I198" s="81"/>
      <c r="J198" s="84"/>
      <c r="K198" s="82">
        <f t="shared" si="22"/>
        <v>0</v>
      </c>
    </row>
    <row r="199" spans="1:11" s="83" customFormat="1" ht="12.75" hidden="1">
      <c r="A199" s="75" t="s">
        <v>257</v>
      </c>
      <c r="B199" s="76">
        <v>2</v>
      </c>
      <c r="C199" s="77"/>
      <c r="D199" s="78" t="s">
        <v>65</v>
      </c>
      <c r="E199" s="79" t="s">
        <v>187</v>
      </c>
      <c r="F199" s="79" t="s">
        <v>204</v>
      </c>
      <c r="G199" s="79" t="s">
        <v>19</v>
      </c>
      <c r="H199" s="80" t="s">
        <v>227</v>
      </c>
      <c r="I199" s="81"/>
      <c r="J199" s="84"/>
      <c r="K199" s="82">
        <f t="shared" si="22"/>
        <v>0</v>
      </c>
    </row>
    <row r="200" spans="1:11" s="83" customFormat="1" ht="12.75" hidden="1">
      <c r="A200" s="75" t="s">
        <v>258</v>
      </c>
      <c r="B200" s="76">
        <v>2</v>
      </c>
      <c r="C200" s="77"/>
      <c r="D200" s="78" t="s">
        <v>65</v>
      </c>
      <c r="E200" s="79" t="s">
        <v>187</v>
      </c>
      <c r="F200" s="79" t="s">
        <v>204</v>
      </c>
      <c r="G200" s="79" t="s">
        <v>19</v>
      </c>
      <c r="H200" s="80" t="s">
        <v>228</v>
      </c>
      <c r="I200" s="81"/>
      <c r="J200" s="84"/>
      <c r="K200" s="82">
        <f t="shared" si="22"/>
        <v>0</v>
      </c>
    </row>
    <row r="201" spans="1:11" s="83" customFormat="1" ht="33.75" hidden="1">
      <c r="A201" s="75" t="s">
        <v>283</v>
      </c>
      <c r="B201" s="76">
        <v>2</v>
      </c>
      <c r="C201" s="77"/>
      <c r="D201" s="78" t="s">
        <v>65</v>
      </c>
      <c r="E201" s="79" t="s">
        <v>187</v>
      </c>
      <c r="F201" s="79" t="s">
        <v>205</v>
      </c>
      <c r="G201" s="79" t="s">
        <v>178</v>
      </c>
      <c r="H201" s="80" t="s">
        <v>178</v>
      </c>
      <c r="I201" s="81"/>
      <c r="J201" s="84"/>
      <c r="K201" s="82">
        <f t="shared" si="22"/>
        <v>0</v>
      </c>
    </row>
    <row r="202" spans="1:11" s="83" customFormat="1" ht="22.5" hidden="1">
      <c r="A202" s="75" t="s">
        <v>242</v>
      </c>
      <c r="B202" s="76">
        <v>2</v>
      </c>
      <c r="C202" s="77"/>
      <c r="D202" s="78" t="s">
        <v>65</v>
      </c>
      <c r="E202" s="79" t="s">
        <v>187</v>
      </c>
      <c r="F202" s="79" t="s">
        <v>205</v>
      </c>
      <c r="G202" s="79" t="s">
        <v>19</v>
      </c>
      <c r="H202" s="80" t="s">
        <v>178</v>
      </c>
      <c r="I202" s="81"/>
      <c r="J202" s="84"/>
      <c r="K202" s="82">
        <f t="shared" si="22"/>
        <v>0</v>
      </c>
    </row>
    <row r="203" spans="1:11" s="83" customFormat="1" ht="12.75" hidden="1">
      <c r="A203" s="75" t="s">
        <v>257</v>
      </c>
      <c r="B203" s="76">
        <v>2</v>
      </c>
      <c r="C203" s="77"/>
      <c r="D203" s="78" t="s">
        <v>65</v>
      </c>
      <c r="E203" s="79" t="s">
        <v>187</v>
      </c>
      <c r="F203" s="79" t="s">
        <v>205</v>
      </c>
      <c r="G203" s="79" t="s">
        <v>19</v>
      </c>
      <c r="H203" s="80" t="s">
        <v>227</v>
      </c>
      <c r="I203" s="81"/>
      <c r="J203" s="84"/>
      <c r="K203" s="82">
        <f t="shared" si="22"/>
        <v>0</v>
      </c>
    </row>
    <row r="204" spans="1:11" s="83" customFormat="1" ht="12.75" hidden="1">
      <c r="A204" s="75" t="s">
        <v>258</v>
      </c>
      <c r="B204" s="76">
        <v>2</v>
      </c>
      <c r="C204" s="77"/>
      <c r="D204" s="78" t="s">
        <v>65</v>
      </c>
      <c r="E204" s="79" t="s">
        <v>187</v>
      </c>
      <c r="F204" s="79" t="s">
        <v>205</v>
      </c>
      <c r="G204" s="79" t="s">
        <v>19</v>
      </c>
      <c r="H204" s="80" t="s">
        <v>228</v>
      </c>
      <c r="I204" s="81"/>
      <c r="J204" s="84"/>
      <c r="K204" s="82">
        <f t="shared" si="22"/>
        <v>0</v>
      </c>
    </row>
    <row r="205" spans="1:11" s="83" customFormat="1" ht="45.75" customHeight="1" hidden="1">
      <c r="A205" s="75" t="s">
        <v>284</v>
      </c>
      <c r="B205" s="76">
        <v>2</v>
      </c>
      <c r="C205" s="77"/>
      <c r="D205" s="78" t="s">
        <v>65</v>
      </c>
      <c r="E205" s="79" t="s">
        <v>187</v>
      </c>
      <c r="F205" s="79" t="s">
        <v>206</v>
      </c>
      <c r="G205" s="79" t="s">
        <v>178</v>
      </c>
      <c r="H205" s="80" t="s">
        <v>178</v>
      </c>
      <c r="I205" s="81">
        <f aca="true" t="shared" si="23" ref="I205:J213">I206</f>
        <v>0</v>
      </c>
      <c r="J205" s="81">
        <f t="shared" si="23"/>
        <v>0</v>
      </c>
      <c r="K205" s="82">
        <f t="shared" si="22"/>
        <v>0</v>
      </c>
    </row>
    <row r="206" spans="1:11" s="83" customFormat="1" ht="12.75" hidden="1">
      <c r="A206" s="75" t="s">
        <v>256</v>
      </c>
      <c r="B206" s="76">
        <v>2</v>
      </c>
      <c r="C206" s="77"/>
      <c r="D206" s="78" t="s">
        <v>65</v>
      </c>
      <c r="E206" s="79" t="s">
        <v>187</v>
      </c>
      <c r="F206" s="79" t="s">
        <v>206</v>
      </c>
      <c r="G206" s="79" t="s">
        <v>213</v>
      </c>
      <c r="H206" s="80" t="s">
        <v>178</v>
      </c>
      <c r="I206" s="81">
        <f t="shared" si="23"/>
        <v>0</v>
      </c>
      <c r="J206" s="81">
        <f t="shared" si="23"/>
        <v>0</v>
      </c>
      <c r="K206" s="82">
        <f t="shared" si="22"/>
        <v>0</v>
      </c>
    </row>
    <row r="207" spans="1:11" s="83" customFormat="1" ht="12.75" hidden="1">
      <c r="A207" s="75" t="s">
        <v>243</v>
      </c>
      <c r="B207" s="76">
        <v>2</v>
      </c>
      <c r="C207" s="77"/>
      <c r="D207" s="78" t="s">
        <v>65</v>
      </c>
      <c r="E207" s="79" t="s">
        <v>187</v>
      </c>
      <c r="F207" s="79" t="s">
        <v>206</v>
      </c>
      <c r="G207" s="79" t="s">
        <v>213</v>
      </c>
      <c r="H207" s="80" t="s">
        <v>18</v>
      </c>
      <c r="I207" s="81">
        <f t="shared" si="23"/>
        <v>0</v>
      </c>
      <c r="J207" s="81">
        <f t="shared" si="23"/>
        <v>0</v>
      </c>
      <c r="K207" s="82">
        <f t="shared" si="22"/>
        <v>0</v>
      </c>
    </row>
    <row r="208" spans="1:11" s="83" customFormat="1" ht="12.75" hidden="1">
      <c r="A208" s="75" t="s">
        <v>244</v>
      </c>
      <c r="B208" s="76">
        <v>2</v>
      </c>
      <c r="C208" s="77"/>
      <c r="D208" s="78" t="s">
        <v>65</v>
      </c>
      <c r="E208" s="79" t="s">
        <v>187</v>
      </c>
      <c r="F208" s="79" t="s">
        <v>206</v>
      </c>
      <c r="G208" s="79" t="s">
        <v>213</v>
      </c>
      <c r="H208" s="80" t="s">
        <v>216</v>
      </c>
      <c r="I208" s="81">
        <f t="shared" si="23"/>
        <v>0</v>
      </c>
      <c r="J208" s="81">
        <f t="shared" si="23"/>
        <v>0</v>
      </c>
      <c r="K208" s="82">
        <f t="shared" si="22"/>
        <v>0</v>
      </c>
    </row>
    <row r="209" spans="1:11" s="83" customFormat="1" ht="12.75" customHeight="1" hidden="1">
      <c r="A209" s="75" t="s">
        <v>255</v>
      </c>
      <c r="B209" s="76">
        <v>2</v>
      </c>
      <c r="C209" s="77"/>
      <c r="D209" s="78" t="s">
        <v>65</v>
      </c>
      <c r="E209" s="79" t="s">
        <v>187</v>
      </c>
      <c r="F209" s="79" t="s">
        <v>206</v>
      </c>
      <c r="G209" s="79" t="s">
        <v>213</v>
      </c>
      <c r="H209" s="80" t="s">
        <v>225</v>
      </c>
      <c r="I209" s="81">
        <f>0</f>
        <v>0</v>
      </c>
      <c r="J209" s="84">
        <v>0</v>
      </c>
      <c r="K209" s="82">
        <f t="shared" si="22"/>
        <v>0</v>
      </c>
    </row>
    <row r="210" spans="1:11" s="83" customFormat="1" ht="45" customHeight="1" hidden="1">
      <c r="A210" s="75" t="s">
        <v>440</v>
      </c>
      <c r="B210" s="76">
        <v>2</v>
      </c>
      <c r="C210" s="77"/>
      <c r="D210" s="78" t="s">
        <v>65</v>
      </c>
      <c r="E210" s="79" t="s">
        <v>187</v>
      </c>
      <c r="F210" s="79" t="s">
        <v>439</v>
      </c>
      <c r="G210" s="79" t="s">
        <v>178</v>
      </c>
      <c r="H210" s="80" t="s">
        <v>178</v>
      </c>
      <c r="I210" s="81">
        <f t="shared" si="23"/>
        <v>0</v>
      </c>
      <c r="J210" s="81">
        <f t="shared" si="23"/>
        <v>0</v>
      </c>
      <c r="K210" s="82">
        <f>IF(ISNUMBER(I210),I210,0)-IF(ISNUMBER(J210),J210,0)</f>
        <v>0</v>
      </c>
    </row>
    <row r="211" spans="1:11" s="83" customFormat="1" ht="12.75" hidden="1">
      <c r="A211" s="75" t="s">
        <v>256</v>
      </c>
      <c r="B211" s="76">
        <v>2</v>
      </c>
      <c r="C211" s="77"/>
      <c r="D211" s="78" t="s">
        <v>65</v>
      </c>
      <c r="E211" s="79" t="s">
        <v>187</v>
      </c>
      <c r="F211" s="79" t="s">
        <v>439</v>
      </c>
      <c r="G211" s="79" t="s">
        <v>213</v>
      </c>
      <c r="H211" s="80" t="s">
        <v>178</v>
      </c>
      <c r="I211" s="81">
        <f t="shared" si="23"/>
        <v>0</v>
      </c>
      <c r="J211" s="81">
        <f t="shared" si="23"/>
        <v>0</v>
      </c>
      <c r="K211" s="82">
        <f>IF(ISNUMBER(I211),I211,0)-IF(ISNUMBER(J211),J211,0)</f>
        <v>0</v>
      </c>
    </row>
    <row r="212" spans="1:11" s="83" customFormat="1" ht="12.75" hidden="1">
      <c r="A212" s="75" t="s">
        <v>243</v>
      </c>
      <c r="B212" s="76">
        <v>2</v>
      </c>
      <c r="C212" s="77"/>
      <c r="D212" s="78" t="s">
        <v>65</v>
      </c>
      <c r="E212" s="79" t="s">
        <v>187</v>
      </c>
      <c r="F212" s="79" t="s">
        <v>439</v>
      </c>
      <c r="G212" s="79" t="s">
        <v>213</v>
      </c>
      <c r="H212" s="80" t="s">
        <v>18</v>
      </c>
      <c r="I212" s="81">
        <f t="shared" si="23"/>
        <v>0</v>
      </c>
      <c r="J212" s="81">
        <f t="shared" si="23"/>
        <v>0</v>
      </c>
      <c r="K212" s="82">
        <f>IF(ISNUMBER(I212),I212,0)-IF(ISNUMBER(J212),J212,0)</f>
        <v>0</v>
      </c>
    </row>
    <row r="213" spans="1:11" s="83" customFormat="1" ht="12.75" hidden="1">
      <c r="A213" s="75" t="s">
        <v>244</v>
      </c>
      <c r="B213" s="76">
        <v>2</v>
      </c>
      <c r="C213" s="77"/>
      <c r="D213" s="78" t="s">
        <v>65</v>
      </c>
      <c r="E213" s="79" t="s">
        <v>187</v>
      </c>
      <c r="F213" s="79" t="s">
        <v>439</v>
      </c>
      <c r="G213" s="79" t="s">
        <v>213</v>
      </c>
      <c r="H213" s="80" t="s">
        <v>216</v>
      </c>
      <c r="I213" s="81">
        <f t="shared" si="23"/>
        <v>0</v>
      </c>
      <c r="J213" s="81">
        <f t="shared" si="23"/>
        <v>0</v>
      </c>
      <c r="K213" s="82">
        <f>IF(ISNUMBER(I213),I213,0)-IF(ISNUMBER(J213),J213,0)</f>
        <v>0</v>
      </c>
    </row>
    <row r="214" spans="1:11" s="83" customFormat="1" ht="12.75" customHeight="1" hidden="1">
      <c r="A214" s="75" t="s">
        <v>255</v>
      </c>
      <c r="B214" s="76">
        <v>2</v>
      </c>
      <c r="C214" s="77"/>
      <c r="D214" s="78" t="s">
        <v>65</v>
      </c>
      <c r="E214" s="79" t="s">
        <v>187</v>
      </c>
      <c r="F214" s="79" t="s">
        <v>439</v>
      </c>
      <c r="G214" s="79" t="s">
        <v>213</v>
      </c>
      <c r="H214" s="80" t="s">
        <v>225</v>
      </c>
      <c r="I214" s="81">
        <f>0</f>
        <v>0</v>
      </c>
      <c r="J214" s="84">
        <v>0</v>
      </c>
      <c r="K214" s="82">
        <f>IF(ISNUMBER(I214),I214,0)-IF(ISNUMBER(J214),J214,0)</f>
        <v>0</v>
      </c>
    </row>
    <row r="215" spans="1:11" s="83" customFormat="1" ht="33.75">
      <c r="A215" s="75" t="s">
        <v>285</v>
      </c>
      <c r="B215" s="76">
        <v>2</v>
      </c>
      <c r="C215" s="77"/>
      <c r="D215" s="78" t="s">
        <v>65</v>
      </c>
      <c r="E215" s="79" t="s">
        <v>187</v>
      </c>
      <c r="F215" s="79" t="s">
        <v>208</v>
      </c>
      <c r="G215" s="79" t="s">
        <v>178</v>
      </c>
      <c r="H215" s="80" t="s">
        <v>178</v>
      </c>
      <c r="I215" s="81">
        <f>I216</f>
        <v>10199000</v>
      </c>
      <c r="J215" s="81">
        <f aca="true" t="shared" si="24" ref="I215:J218">J216</f>
        <v>10199000</v>
      </c>
      <c r="K215" s="82">
        <f t="shared" si="22"/>
        <v>0</v>
      </c>
    </row>
    <row r="216" spans="1:11" s="83" customFormat="1" ht="12.75">
      <c r="A216" s="75" t="s">
        <v>256</v>
      </c>
      <c r="B216" s="76">
        <v>2</v>
      </c>
      <c r="C216" s="77"/>
      <c r="D216" s="78" t="s">
        <v>65</v>
      </c>
      <c r="E216" s="79" t="s">
        <v>187</v>
      </c>
      <c r="F216" s="79" t="s">
        <v>208</v>
      </c>
      <c r="G216" s="79" t="s">
        <v>305</v>
      </c>
      <c r="H216" s="80" t="s">
        <v>178</v>
      </c>
      <c r="I216" s="81">
        <f t="shared" si="24"/>
        <v>10199000</v>
      </c>
      <c r="J216" s="81">
        <f t="shared" si="24"/>
        <v>10199000</v>
      </c>
      <c r="K216" s="82">
        <f t="shared" si="22"/>
        <v>0</v>
      </c>
    </row>
    <row r="217" spans="1:11" s="83" customFormat="1" ht="12.75">
      <c r="A217" s="75" t="s">
        <v>243</v>
      </c>
      <c r="B217" s="76">
        <v>2</v>
      </c>
      <c r="C217" s="77"/>
      <c r="D217" s="78" t="s">
        <v>65</v>
      </c>
      <c r="E217" s="79" t="s">
        <v>187</v>
      </c>
      <c r="F217" s="79" t="s">
        <v>208</v>
      </c>
      <c r="G217" s="79" t="s">
        <v>305</v>
      </c>
      <c r="H217" s="80" t="s">
        <v>18</v>
      </c>
      <c r="I217" s="81">
        <f t="shared" si="24"/>
        <v>10199000</v>
      </c>
      <c r="J217" s="81">
        <f t="shared" si="24"/>
        <v>10199000</v>
      </c>
      <c r="K217" s="82">
        <f t="shared" si="22"/>
        <v>0</v>
      </c>
    </row>
    <row r="218" spans="1:11" s="83" customFormat="1" ht="12.75">
      <c r="A218" s="75" t="s">
        <v>244</v>
      </c>
      <c r="B218" s="76">
        <v>2</v>
      </c>
      <c r="C218" s="77"/>
      <c r="D218" s="78" t="s">
        <v>65</v>
      </c>
      <c r="E218" s="79" t="s">
        <v>187</v>
      </c>
      <c r="F218" s="79" t="s">
        <v>208</v>
      </c>
      <c r="G218" s="79" t="s">
        <v>305</v>
      </c>
      <c r="H218" s="80" t="s">
        <v>232</v>
      </c>
      <c r="I218" s="81">
        <f t="shared" si="24"/>
        <v>10199000</v>
      </c>
      <c r="J218" s="81">
        <f t="shared" si="24"/>
        <v>10199000</v>
      </c>
      <c r="K218" s="82">
        <f t="shared" si="22"/>
        <v>0</v>
      </c>
    </row>
    <row r="219" spans="1:11" s="83" customFormat="1" ht="12.75">
      <c r="A219" s="75" t="s">
        <v>255</v>
      </c>
      <c r="B219" s="76">
        <v>2</v>
      </c>
      <c r="C219" s="77"/>
      <c r="D219" s="78" t="s">
        <v>65</v>
      </c>
      <c r="E219" s="79" t="s">
        <v>187</v>
      </c>
      <c r="F219" s="79" t="s">
        <v>208</v>
      </c>
      <c r="G219" s="79" t="s">
        <v>305</v>
      </c>
      <c r="H219" s="80" t="s">
        <v>234</v>
      </c>
      <c r="I219" s="81">
        <v>10199000</v>
      </c>
      <c r="J219" s="84">
        <v>10199000</v>
      </c>
      <c r="K219" s="82">
        <f t="shared" si="22"/>
        <v>0</v>
      </c>
    </row>
    <row r="220" spans="1:11" s="83" customFormat="1" ht="35.25" customHeight="1">
      <c r="A220" s="75" t="s">
        <v>286</v>
      </c>
      <c r="B220" s="76">
        <v>2</v>
      </c>
      <c r="C220" s="77"/>
      <c r="D220" s="78" t="s">
        <v>65</v>
      </c>
      <c r="E220" s="79" t="s">
        <v>187</v>
      </c>
      <c r="F220" s="79" t="s">
        <v>207</v>
      </c>
      <c r="G220" s="79" t="s">
        <v>178</v>
      </c>
      <c r="H220" s="80" t="s">
        <v>178</v>
      </c>
      <c r="I220" s="81">
        <f aca="true" t="shared" si="25" ref="I220:J223">I221</f>
        <v>112804.39</v>
      </c>
      <c r="J220" s="81">
        <f t="shared" si="25"/>
        <v>112804.39</v>
      </c>
      <c r="K220" s="82">
        <f t="shared" si="22"/>
        <v>0</v>
      </c>
    </row>
    <row r="221" spans="1:11" s="83" customFormat="1" ht="34.5" customHeight="1">
      <c r="A221" s="75" t="s">
        <v>364</v>
      </c>
      <c r="B221" s="76">
        <v>2</v>
      </c>
      <c r="C221" s="77"/>
      <c r="D221" s="78" t="s">
        <v>65</v>
      </c>
      <c r="E221" s="79" t="s">
        <v>187</v>
      </c>
      <c r="F221" s="79" t="s">
        <v>207</v>
      </c>
      <c r="G221" s="79" t="s">
        <v>213</v>
      </c>
      <c r="H221" s="80" t="s">
        <v>178</v>
      </c>
      <c r="I221" s="81">
        <f t="shared" si="25"/>
        <v>112804.39</v>
      </c>
      <c r="J221" s="81">
        <f t="shared" si="25"/>
        <v>112804.39</v>
      </c>
      <c r="K221" s="82">
        <f t="shared" si="22"/>
        <v>0</v>
      </c>
    </row>
    <row r="222" spans="1:11" s="83" customFormat="1" ht="12.75">
      <c r="A222" s="75" t="s">
        <v>243</v>
      </c>
      <c r="B222" s="76">
        <v>2</v>
      </c>
      <c r="C222" s="77"/>
      <c r="D222" s="78" t="s">
        <v>65</v>
      </c>
      <c r="E222" s="79" t="s">
        <v>187</v>
      </c>
      <c r="F222" s="79" t="s">
        <v>207</v>
      </c>
      <c r="G222" s="79" t="s">
        <v>213</v>
      </c>
      <c r="H222" s="80" t="s">
        <v>18</v>
      </c>
      <c r="I222" s="81">
        <f t="shared" si="25"/>
        <v>112804.39</v>
      </c>
      <c r="J222" s="81">
        <f t="shared" si="25"/>
        <v>112804.39</v>
      </c>
      <c r="K222" s="82">
        <f t="shared" si="22"/>
        <v>0</v>
      </c>
    </row>
    <row r="223" spans="1:11" s="83" customFormat="1" ht="22.5" customHeight="1">
      <c r="A223" s="75" t="s">
        <v>278</v>
      </c>
      <c r="B223" s="76">
        <v>2</v>
      </c>
      <c r="C223" s="77"/>
      <c r="D223" s="78" t="s">
        <v>65</v>
      </c>
      <c r="E223" s="79" t="s">
        <v>187</v>
      </c>
      <c r="F223" s="79" t="s">
        <v>207</v>
      </c>
      <c r="G223" s="79" t="s">
        <v>213</v>
      </c>
      <c r="H223" s="80" t="s">
        <v>216</v>
      </c>
      <c r="I223" s="81">
        <f t="shared" si="25"/>
        <v>112804.39</v>
      </c>
      <c r="J223" s="81">
        <f t="shared" si="25"/>
        <v>112804.39</v>
      </c>
      <c r="K223" s="82">
        <f t="shared" si="22"/>
        <v>0</v>
      </c>
    </row>
    <row r="224" spans="1:11" s="83" customFormat="1" ht="22.5" customHeight="1">
      <c r="A224" s="75" t="s">
        <v>282</v>
      </c>
      <c r="B224" s="76">
        <v>2</v>
      </c>
      <c r="C224" s="77"/>
      <c r="D224" s="78" t="s">
        <v>65</v>
      </c>
      <c r="E224" s="79" t="s">
        <v>187</v>
      </c>
      <c r="F224" s="79" t="s">
        <v>207</v>
      </c>
      <c r="G224" s="79" t="s">
        <v>213</v>
      </c>
      <c r="H224" s="80" t="s">
        <v>225</v>
      </c>
      <c r="I224" s="81">
        <f>112804.39</f>
        <v>112804.39</v>
      </c>
      <c r="J224" s="84">
        <f>112804.39</f>
        <v>112804.39</v>
      </c>
      <c r="K224" s="82">
        <f t="shared" si="22"/>
        <v>0</v>
      </c>
    </row>
    <row r="225" spans="1:11" s="83" customFormat="1" ht="23.25" customHeight="1" hidden="1">
      <c r="A225" s="75" t="s">
        <v>287</v>
      </c>
      <c r="B225" s="76">
        <v>2</v>
      </c>
      <c r="C225" s="77"/>
      <c r="D225" s="78" t="s">
        <v>65</v>
      </c>
      <c r="E225" s="79" t="s">
        <v>187</v>
      </c>
      <c r="F225" s="79" t="s">
        <v>209</v>
      </c>
      <c r="G225" s="79" t="s">
        <v>178</v>
      </c>
      <c r="H225" s="80" t="s">
        <v>178</v>
      </c>
      <c r="I225" s="81">
        <f aca="true" t="shared" si="26" ref="I225:J228">I226</f>
        <v>0</v>
      </c>
      <c r="J225" s="81">
        <f t="shared" si="26"/>
        <v>0</v>
      </c>
      <c r="K225" s="82">
        <f t="shared" si="22"/>
        <v>0</v>
      </c>
    </row>
    <row r="226" spans="1:11" s="83" customFormat="1" ht="33" customHeight="1" hidden="1">
      <c r="A226" s="75" t="s">
        <v>364</v>
      </c>
      <c r="B226" s="76">
        <v>2</v>
      </c>
      <c r="C226" s="77"/>
      <c r="D226" s="78" t="s">
        <v>65</v>
      </c>
      <c r="E226" s="79" t="s">
        <v>187</v>
      </c>
      <c r="F226" s="79" t="s">
        <v>209</v>
      </c>
      <c r="G226" s="79" t="s">
        <v>305</v>
      </c>
      <c r="H226" s="80" t="s">
        <v>178</v>
      </c>
      <c r="I226" s="81">
        <f t="shared" si="26"/>
        <v>0</v>
      </c>
      <c r="J226" s="81">
        <f t="shared" si="26"/>
        <v>0</v>
      </c>
      <c r="K226" s="82">
        <f t="shared" si="22"/>
        <v>0</v>
      </c>
    </row>
    <row r="227" spans="1:11" s="83" customFormat="1" ht="12.75" hidden="1">
      <c r="A227" s="75" t="s">
        <v>243</v>
      </c>
      <c r="B227" s="76">
        <v>2</v>
      </c>
      <c r="C227" s="77"/>
      <c r="D227" s="78" t="s">
        <v>65</v>
      </c>
      <c r="E227" s="79" t="s">
        <v>187</v>
      </c>
      <c r="F227" s="79" t="s">
        <v>209</v>
      </c>
      <c r="G227" s="79" t="s">
        <v>305</v>
      </c>
      <c r="H227" s="80" t="s">
        <v>18</v>
      </c>
      <c r="I227" s="81">
        <f t="shared" si="26"/>
        <v>0</v>
      </c>
      <c r="J227" s="81">
        <f t="shared" si="26"/>
        <v>0</v>
      </c>
      <c r="K227" s="82">
        <f t="shared" si="22"/>
        <v>0</v>
      </c>
    </row>
    <row r="228" spans="1:11" s="83" customFormat="1" ht="24" customHeight="1" hidden="1">
      <c r="A228" s="75" t="s">
        <v>278</v>
      </c>
      <c r="B228" s="76">
        <v>2</v>
      </c>
      <c r="C228" s="77"/>
      <c r="D228" s="78" t="s">
        <v>65</v>
      </c>
      <c r="E228" s="79" t="s">
        <v>187</v>
      </c>
      <c r="F228" s="79" t="s">
        <v>209</v>
      </c>
      <c r="G228" s="79" t="s">
        <v>305</v>
      </c>
      <c r="H228" s="80" t="s">
        <v>232</v>
      </c>
      <c r="I228" s="81">
        <f t="shared" si="26"/>
        <v>0</v>
      </c>
      <c r="J228" s="81">
        <f t="shared" si="26"/>
        <v>0</v>
      </c>
      <c r="K228" s="82">
        <f t="shared" si="22"/>
        <v>0</v>
      </c>
    </row>
    <row r="229" spans="1:11" s="83" customFormat="1" ht="21.75" customHeight="1" hidden="1">
      <c r="A229" s="75" t="s">
        <v>282</v>
      </c>
      <c r="B229" s="76">
        <v>2</v>
      </c>
      <c r="C229" s="77"/>
      <c r="D229" s="78" t="s">
        <v>65</v>
      </c>
      <c r="E229" s="79" t="s">
        <v>187</v>
      </c>
      <c r="F229" s="79" t="s">
        <v>209</v>
      </c>
      <c r="G229" s="79" t="s">
        <v>305</v>
      </c>
      <c r="H229" s="80" t="s">
        <v>234</v>
      </c>
      <c r="I229" s="81">
        <f>0</f>
        <v>0</v>
      </c>
      <c r="J229" s="84">
        <v>0</v>
      </c>
      <c r="K229" s="82">
        <f t="shared" si="22"/>
        <v>0</v>
      </c>
    </row>
    <row r="230" spans="1:11" s="83" customFormat="1" ht="12.75">
      <c r="A230" s="75" t="s">
        <v>288</v>
      </c>
      <c r="B230" s="76">
        <v>2</v>
      </c>
      <c r="C230" s="77"/>
      <c r="D230" s="78" t="s">
        <v>65</v>
      </c>
      <c r="E230" s="79" t="s">
        <v>188</v>
      </c>
      <c r="F230" s="79" t="s">
        <v>178</v>
      </c>
      <c r="G230" s="79" t="s">
        <v>178</v>
      </c>
      <c r="H230" s="80" t="s">
        <v>178</v>
      </c>
      <c r="I230" s="81">
        <f>I249+I259+I264+I269</f>
        <v>7509861.45</v>
      </c>
      <c r="J230" s="81">
        <f>J249+J254+J259+J264+J269</f>
        <v>1660273.36</v>
      </c>
      <c r="K230" s="82">
        <f t="shared" si="22"/>
        <v>5849588.09</v>
      </c>
    </row>
    <row r="231" spans="1:11" s="83" customFormat="1" ht="22.5" customHeight="1" hidden="1">
      <c r="A231" s="75" t="s">
        <v>423</v>
      </c>
      <c r="B231" s="76">
        <v>2</v>
      </c>
      <c r="C231" s="77"/>
      <c r="D231" s="78" t="s">
        <v>65</v>
      </c>
      <c r="E231" s="79" t="s">
        <v>188</v>
      </c>
      <c r="F231" s="79" t="s">
        <v>424</v>
      </c>
      <c r="G231" s="79" t="s">
        <v>178</v>
      </c>
      <c r="H231" s="80" t="s">
        <v>178</v>
      </c>
      <c r="I231" s="81">
        <f aca="true" t="shared" si="27" ref="I231:J234">I232</f>
        <v>0</v>
      </c>
      <c r="J231" s="81">
        <f t="shared" si="27"/>
        <v>0</v>
      </c>
      <c r="K231" s="82">
        <f t="shared" si="22"/>
        <v>0</v>
      </c>
    </row>
    <row r="232" spans="1:11" s="83" customFormat="1" ht="12.75" hidden="1">
      <c r="A232" s="75" t="s">
        <v>256</v>
      </c>
      <c r="B232" s="76">
        <v>2</v>
      </c>
      <c r="C232" s="77"/>
      <c r="D232" s="78" t="s">
        <v>65</v>
      </c>
      <c r="E232" s="79" t="s">
        <v>188</v>
      </c>
      <c r="F232" s="79" t="s">
        <v>424</v>
      </c>
      <c r="G232" s="79" t="s">
        <v>213</v>
      </c>
      <c r="H232" s="80" t="s">
        <v>178</v>
      </c>
      <c r="I232" s="81">
        <f>I233</f>
        <v>0</v>
      </c>
      <c r="J232" s="81">
        <f>J233</f>
        <v>0</v>
      </c>
      <c r="K232" s="82">
        <f t="shared" si="22"/>
        <v>0</v>
      </c>
    </row>
    <row r="233" spans="1:11" s="83" customFormat="1" ht="12.75" hidden="1">
      <c r="A233" s="75" t="s">
        <v>243</v>
      </c>
      <c r="B233" s="76">
        <v>2</v>
      </c>
      <c r="C233" s="77"/>
      <c r="D233" s="78" t="s">
        <v>65</v>
      </c>
      <c r="E233" s="79" t="s">
        <v>188</v>
      </c>
      <c r="F233" s="79" t="s">
        <v>424</v>
      </c>
      <c r="G233" s="79" t="s">
        <v>213</v>
      </c>
      <c r="H233" s="80" t="s">
        <v>18</v>
      </c>
      <c r="I233" s="81">
        <f t="shared" si="27"/>
        <v>0</v>
      </c>
      <c r="J233" s="81">
        <f t="shared" si="27"/>
        <v>0</v>
      </c>
      <c r="K233" s="82">
        <f t="shared" si="22"/>
        <v>0</v>
      </c>
    </row>
    <row r="234" spans="1:11" s="83" customFormat="1" ht="12.75" hidden="1">
      <c r="A234" s="75" t="s">
        <v>244</v>
      </c>
      <c r="B234" s="76">
        <v>2</v>
      </c>
      <c r="C234" s="77"/>
      <c r="D234" s="78" t="s">
        <v>65</v>
      </c>
      <c r="E234" s="79" t="s">
        <v>188</v>
      </c>
      <c r="F234" s="79" t="s">
        <v>424</v>
      </c>
      <c r="G234" s="79" t="s">
        <v>213</v>
      </c>
      <c r="H234" s="80" t="s">
        <v>216</v>
      </c>
      <c r="I234" s="81">
        <f t="shared" si="27"/>
        <v>0</v>
      </c>
      <c r="J234" s="81">
        <f t="shared" si="27"/>
        <v>0</v>
      </c>
      <c r="K234" s="82">
        <f t="shared" si="22"/>
        <v>0</v>
      </c>
    </row>
    <row r="235" spans="1:11" s="83" customFormat="1" ht="12.75" hidden="1">
      <c r="A235" s="75" t="s">
        <v>393</v>
      </c>
      <c r="B235" s="76">
        <v>2</v>
      </c>
      <c r="C235" s="77"/>
      <c r="D235" s="78" t="s">
        <v>65</v>
      </c>
      <c r="E235" s="79" t="s">
        <v>188</v>
      </c>
      <c r="F235" s="79" t="s">
        <v>424</v>
      </c>
      <c r="G235" s="79" t="s">
        <v>213</v>
      </c>
      <c r="H235" s="80" t="s">
        <v>217</v>
      </c>
      <c r="I235" s="81">
        <f>0</f>
        <v>0</v>
      </c>
      <c r="J235" s="84">
        <v>0</v>
      </c>
      <c r="K235" s="82">
        <f t="shared" si="22"/>
        <v>0</v>
      </c>
    </row>
    <row r="236" spans="1:11" s="83" customFormat="1" ht="34.5" customHeight="1" hidden="1">
      <c r="A236" s="75" t="s">
        <v>366</v>
      </c>
      <c r="B236" s="76">
        <v>2</v>
      </c>
      <c r="C236" s="77"/>
      <c r="D236" s="78" t="s">
        <v>65</v>
      </c>
      <c r="E236" s="79" t="s">
        <v>188</v>
      </c>
      <c r="F236" s="79" t="s">
        <v>349</v>
      </c>
      <c r="G236" s="79" t="s">
        <v>178</v>
      </c>
      <c r="H236" s="80" t="s">
        <v>178</v>
      </c>
      <c r="I236" s="81">
        <f aca="true" t="shared" si="28" ref="I236:J239">I237</f>
        <v>0</v>
      </c>
      <c r="J236" s="81">
        <f t="shared" si="28"/>
        <v>0</v>
      </c>
      <c r="K236" s="82">
        <f aca="true" t="shared" si="29" ref="K236:K242">IF(ISNUMBER(I236),I236,0)-IF(ISNUMBER(J236),J236,0)</f>
        <v>0</v>
      </c>
    </row>
    <row r="237" spans="1:11" s="83" customFormat="1" ht="12.75" hidden="1">
      <c r="A237" s="75" t="s">
        <v>256</v>
      </c>
      <c r="B237" s="76">
        <v>2</v>
      </c>
      <c r="C237" s="77"/>
      <c r="D237" s="78" t="s">
        <v>65</v>
      </c>
      <c r="E237" s="79" t="s">
        <v>188</v>
      </c>
      <c r="F237" s="79" t="s">
        <v>349</v>
      </c>
      <c r="G237" s="79" t="s">
        <v>213</v>
      </c>
      <c r="H237" s="80" t="s">
        <v>178</v>
      </c>
      <c r="I237" s="81">
        <f>I238+I241</f>
        <v>0</v>
      </c>
      <c r="J237" s="81">
        <f>J238+J241</f>
        <v>0</v>
      </c>
      <c r="K237" s="82">
        <f t="shared" si="29"/>
        <v>0</v>
      </c>
    </row>
    <row r="238" spans="1:11" s="83" customFormat="1" ht="12.75" hidden="1">
      <c r="A238" s="75" t="s">
        <v>243</v>
      </c>
      <c r="B238" s="76">
        <v>2</v>
      </c>
      <c r="C238" s="77"/>
      <c r="D238" s="78" t="s">
        <v>65</v>
      </c>
      <c r="E238" s="79" t="s">
        <v>188</v>
      </c>
      <c r="F238" s="79" t="s">
        <v>349</v>
      </c>
      <c r="G238" s="79" t="s">
        <v>213</v>
      </c>
      <c r="H238" s="80" t="s">
        <v>18</v>
      </c>
      <c r="I238" s="81">
        <f t="shared" si="28"/>
        <v>0</v>
      </c>
      <c r="J238" s="81">
        <f t="shared" si="28"/>
        <v>0</v>
      </c>
      <c r="K238" s="82">
        <f t="shared" si="29"/>
        <v>0</v>
      </c>
    </row>
    <row r="239" spans="1:11" s="83" customFormat="1" ht="12.75" hidden="1">
      <c r="A239" s="75" t="s">
        <v>244</v>
      </c>
      <c r="B239" s="76">
        <v>2</v>
      </c>
      <c r="C239" s="77"/>
      <c r="D239" s="78" t="s">
        <v>65</v>
      </c>
      <c r="E239" s="79" t="s">
        <v>188</v>
      </c>
      <c r="F239" s="79" t="s">
        <v>349</v>
      </c>
      <c r="G239" s="79" t="s">
        <v>213</v>
      </c>
      <c r="H239" s="80" t="s">
        <v>216</v>
      </c>
      <c r="I239" s="81">
        <f t="shared" si="28"/>
        <v>0</v>
      </c>
      <c r="J239" s="81">
        <f t="shared" si="28"/>
        <v>0</v>
      </c>
      <c r="K239" s="82">
        <f t="shared" si="29"/>
        <v>0</v>
      </c>
    </row>
    <row r="240" spans="1:11" s="83" customFormat="1" ht="12" customHeight="1" hidden="1">
      <c r="A240" s="75" t="s">
        <v>255</v>
      </c>
      <c r="B240" s="76">
        <v>2</v>
      </c>
      <c r="C240" s="77"/>
      <c r="D240" s="78" t="s">
        <v>65</v>
      </c>
      <c r="E240" s="79" t="s">
        <v>188</v>
      </c>
      <c r="F240" s="79" t="s">
        <v>349</v>
      </c>
      <c r="G240" s="79" t="s">
        <v>213</v>
      </c>
      <c r="H240" s="80" t="s">
        <v>225</v>
      </c>
      <c r="I240" s="81">
        <v>0</v>
      </c>
      <c r="J240" s="84">
        <v>0</v>
      </c>
      <c r="K240" s="82">
        <f t="shared" si="29"/>
        <v>0</v>
      </c>
    </row>
    <row r="241" spans="1:11" s="83" customFormat="1" ht="12.75" customHeight="1" hidden="1">
      <c r="A241" s="75" t="s">
        <v>257</v>
      </c>
      <c r="B241" s="76">
        <v>2</v>
      </c>
      <c r="C241" s="77"/>
      <c r="D241" s="78" t="s">
        <v>65</v>
      </c>
      <c r="E241" s="79" t="s">
        <v>188</v>
      </c>
      <c r="F241" s="79" t="s">
        <v>349</v>
      </c>
      <c r="G241" s="79" t="s">
        <v>213</v>
      </c>
      <c r="H241" s="80" t="s">
        <v>227</v>
      </c>
      <c r="I241" s="81">
        <f>I242</f>
        <v>0</v>
      </c>
      <c r="J241" s="81">
        <f>J242</f>
        <v>0</v>
      </c>
      <c r="K241" s="82">
        <f t="shared" si="29"/>
        <v>0</v>
      </c>
    </row>
    <row r="242" spans="1:11" s="83" customFormat="1" ht="12.75" customHeight="1" hidden="1">
      <c r="A242" s="75" t="s">
        <v>259</v>
      </c>
      <c r="B242" s="76">
        <v>2</v>
      </c>
      <c r="C242" s="77"/>
      <c r="D242" s="78" t="s">
        <v>65</v>
      </c>
      <c r="E242" s="79" t="s">
        <v>188</v>
      </c>
      <c r="F242" s="79" t="s">
        <v>349</v>
      </c>
      <c r="G242" s="79" t="s">
        <v>213</v>
      </c>
      <c r="H242" s="80" t="s">
        <v>229</v>
      </c>
      <c r="I242" s="81">
        <v>0</v>
      </c>
      <c r="J242" s="84">
        <v>0</v>
      </c>
      <c r="K242" s="82">
        <f t="shared" si="29"/>
        <v>0</v>
      </c>
    </row>
    <row r="243" spans="1:11" s="83" customFormat="1" ht="23.25" customHeight="1" hidden="1">
      <c r="A243" s="75" t="s">
        <v>425</v>
      </c>
      <c r="B243" s="76">
        <v>2</v>
      </c>
      <c r="C243" s="77"/>
      <c r="D243" s="78" t="s">
        <v>65</v>
      </c>
      <c r="E243" s="79" t="s">
        <v>188</v>
      </c>
      <c r="F243" s="79" t="s">
        <v>426</v>
      </c>
      <c r="G243" s="79" t="s">
        <v>178</v>
      </c>
      <c r="H243" s="80" t="s">
        <v>178</v>
      </c>
      <c r="I243" s="81">
        <f aca="true" t="shared" si="30" ref="I243:J245">I244</f>
        <v>0</v>
      </c>
      <c r="J243" s="81">
        <f t="shared" si="30"/>
        <v>0</v>
      </c>
      <c r="K243" s="82">
        <f aca="true" t="shared" si="31" ref="K243:K248">IF(ISNUMBER(I243),I243,0)-IF(ISNUMBER(J243),J243,0)</f>
        <v>0</v>
      </c>
    </row>
    <row r="244" spans="1:11" s="83" customFormat="1" ht="12.75" hidden="1">
      <c r="A244" s="75" t="s">
        <v>256</v>
      </c>
      <c r="B244" s="76">
        <v>2</v>
      </c>
      <c r="C244" s="77"/>
      <c r="D244" s="78" t="s">
        <v>65</v>
      </c>
      <c r="E244" s="79" t="s">
        <v>188</v>
      </c>
      <c r="F244" s="79" t="s">
        <v>426</v>
      </c>
      <c r="G244" s="79" t="s">
        <v>213</v>
      </c>
      <c r="H244" s="80" t="s">
        <v>178</v>
      </c>
      <c r="I244" s="81">
        <f t="shared" si="30"/>
        <v>0</v>
      </c>
      <c r="J244" s="81">
        <f t="shared" si="30"/>
        <v>0</v>
      </c>
      <c r="K244" s="82">
        <f t="shared" si="31"/>
        <v>0</v>
      </c>
    </row>
    <row r="245" spans="1:11" s="83" customFormat="1" ht="12.75" hidden="1">
      <c r="A245" s="75" t="s">
        <v>243</v>
      </c>
      <c r="B245" s="76">
        <v>2</v>
      </c>
      <c r="C245" s="77"/>
      <c r="D245" s="78" t="s">
        <v>65</v>
      </c>
      <c r="E245" s="79" t="s">
        <v>188</v>
      </c>
      <c r="F245" s="79" t="s">
        <v>426</v>
      </c>
      <c r="G245" s="79" t="s">
        <v>213</v>
      </c>
      <c r="H245" s="80" t="s">
        <v>18</v>
      </c>
      <c r="I245" s="81">
        <f t="shared" si="30"/>
        <v>0</v>
      </c>
      <c r="J245" s="81">
        <f t="shared" si="30"/>
        <v>0</v>
      </c>
      <c r="K245" s="82">
        <f t="shared" si="31"/>
        <v>0</v>
      </c>
    </row>
    <row r="246" spans="1:11" s="83" customFormat="1" ht="12.75" hidden="1">
      <c r="A246" s="75" t="s">
        <v>244</v>
      </c>
      <c r="B246" s="76">
        <v>2</v>
      </c>
      <c r="C246" s="77"/>
      <c r="D246" s="78" t="s">
        <v>65</v>
      </c>
      <c r="E246" s="79" t="s">
        <v>188</v>
      </c>
      <c r="F246" s="79" t="s">
        <v>426</v>
      </c>
      <c r="G246" s="79" t="s">
        <v>213</v>
      </c>
      <c r="H246" s="80" t="s">
        <v>216</v>
      </c>
      <c r="I246" s="81">
        <f>I248</f>
        <v>0</v>
      </c>
      <c r="J246" s="81">
        <f>J248</f>
        <v>0</v>
      </c>
      <c r="K246" s="82">
        <f t="shared" si="31"/>
        <v>0</v>
      </c>
    </row>
    <row r="247" spans="1:11" s="83" customFormat="1" ht="12.75" hidden="1">
      <c r="A247" s="75" t="s">
        <v>252</v>
      </c>
      <c r="B247" s="76">
        <v>2</v>
      </c>
      <c r="C247" s="77"/>
      <c r="D247" s="78" t="s">
        <v>65</v>
      </c>
      <c r="E247" s="79" t="s">
        <v>188</v>
      </c>
      <c r="F247" s="79" t="s">
        <v>210</v>
      </c>
      <c r="G247" s="79" t="s">
        <v>213</v>
      </c>
      <c r="H247" s="80" t="s">
        <v>222</v>
      </c>
      <c r="I247" s="81"/>
      <c r="J247" s="84"/>
      <c r="K247" s="82">
        <f t="shared" si="31"/>
        <v>0</v>
      </c>
    </row>
    <row r="248" spans="1:11" s="83" customFormat="1" ht="12" customHeight="1" hidden="1">
      <c r="A248" s="75" t="s">
        <v>255</v>
      </c>
      <c r="B248" s="76">
        <v>2</v>
      </c>
      <c r="C248" s="77"/>
      <c r="D248" s="78" t="s">
        <v>65</v>
      </c>
      <c r="E248" s="79" t="s">
        <v>188</v>
      </c>
      <c r="F248" s="79" t="s">
        <v>426</v>
      </c>
      <c r="G248" s="79" t="s">
        <v>213</v>
      </c>
      <c r="H248" s="80" t="s">
        <v>225</v>
      </c>
      <c r="I248" s="81">
        <f>0</f>
        <v>0</v>
      </c>
      <c r="J248" s="84">
        <v>0</v>
      </c>
      <c r="K248" s="82">
        <f t="shared" si="31"/>
        <v>0</v>
      </c>
    </row>
    <row r="249" spans="1:11" s="83" customFormat="1" ht="35.25" customHeight="1">
      <c r="A249" s="75" t="s">
        <v>466</v>
      </c>
      <c r="B249" s="76">
        <v>2</v>
      </c>
      <c r="C249" s="77"/>
      <c r="D249" s="78" t="s">
        <v>65</v>
      </c>
      <c r="E249" s="79" t="s">
        <v>188</v>
      </c>
      <c r="F249" s="79" t="s">
        <v>462</v>
      </c>
      <c r="G249" s="79" t="s">
        <v>178</v>
      </c>
      <c r="H249" s="80" t="s">
        <v>178</v>
      </c>
      <c r="I249" s="81">
        <f aca="true" t="shared" si="32" ref="I249:J252">I250</f>
        <v>4266461.45</v>
      </c>
      <c r="J249" s="81">
        <f t="shared" si="32"/>
        <v>1310373.36</v>
      </c>
      <c r="K249" s="82">
        <f aca="true" t="shared" si="33" ref="K249:K268">IF(ISNUMBER(I249),I249,0)-IF(ISNUMBER(J249),J249,0)</f>
        <v>2956088.09</v>
      </c>
    </row>
    <row r="250" spans="1:11" s="83" customFormat="1" ht="12.75" customHeight="1">
      <c r="A250" s="75" t="s">
        <v>256</v>
      </c>
      <c r="B250" s="76">
        <v>2</v>
      </c>
      <c r="C250" s="77"/>
      <c r="D250" s="78" t="s">
        <v>65</v>
      </c>
      <c r="E250" s="79" t="s">
        <v>188</v>
      </c>
      <c r="F250" s="79" t="s">
        <v>462</v>
      </c>
      <c r="G250" s="79" t="s">
        <v>213</v>
      </c>
      <c r="H250" s="80" t="s">
        <v>178</v>
      </c>
      <c r="I250" s="81">
        <f t="shared" si="32"/>
        <v>4266461.45</v>
      </c>
      <c r="J250" s="81">
        <f t="shared" si="32"/>
        <v>1310373.36</v>
      </c>
      <c r="K250" s="82">
        <f t="shared" si="33"/>
        <v>2956088.09</v>
      </c>
    </row>
    <row r="251" spans="1:11" s="83" customFormat="1" ht="12.75" customHeight="1">
      <c r="A251" s="75" t="s">
        <v>243</v>
      </c>
      <c r="B251" s="76">
        <v>2</v>
      </c>
      <c r="C251" s="77"/>
      <c r="D251" s="78" t="s">
        <v>65</v>
      </c>
      <c r="E251" s="79" t="s">
        <v>188</v>
      </c>
      <c r="F251" s="79" t="s">
        <v>462</v>
      </c>
      <c r="G251" s="79" t="s">
        <v>213</v>
      </c>
      <c r="H251" s="80" t="s">
        <v>18</v>
      </c>
      <c r="I251" s="81">
        <f t="shared" si="32"/>
        <v>4266461.45</v>
      </c>
      <c r="J251" s="81">
        <f t="shared" si="32"/>
        <v>1310373.36</v>
      </c>
      <c r="K251" s="82">
        <f t="shared" si="33"/>
        <v>2956088.09</v>
      </c>
    </row>
    <row r="252" spans="1:11" s="83" customFormat="1" ht="12.75" customHeight="1">
      <c r="A252" s="75" t="s">
        <v>244</v>
      </c>
      <c r="B252" s="76">
        <v>2</v>
      </c>
      <c r="C252" s="77"/>
      <c r="D252" s="78" t="s">
        <v>65</v>
      </c>
      <c r="E252" s="79" t="s">
        <v>188</v>
      </c>
      <c r="F252" s="79" t="s">
        <v>462</v>
      </c>
      <c r="G252" s="79" t="s">
        <v>213</v>
      </c>
      <c r="H252" s="80" t="s">
        <v>216</v>
      </c>
      <c r="I252" s="81">
        <f t="shared" si="32"/>
        <v>4266461.45</v>
      </c>
      <c r="J252" s="81">
        <f t="shared" si="32"/>
        <v>1310373.36</v>
      </c>
      <c r="K252" s="82">
        <f t="shared" si="33"/>
        <v>2956088.09</v>
      </c>
    </row>
    <row r="253" spans="1:11" s="83" customFormat="1" ht="12.75" customHeight="1">
      <c r="A253" s="75" t="s">
        <v>245</v>
      </c>
      <c r="B253" s="76">
        <v>2</v>
      </c>
      <c r="C253" s="77"/>
      <c r="D253" s="78" t="s">
        <v>65</v>
      </c>
      <c r="E253" s="79" t="s">
        <v>188</v>
      </c>
      <c r="F253" s="79" t="s">
        <v>462</v>
      </c>
      <c r="G253" s="79" t="s">
        <v>213</v>
      </c>
      <c r="H253" s="80" t="s">
        <v>217</v>
      </c>
      <c r="I253" s="81">
        <v>4266461.45</v>
      </c>
      <c r="J253" s="84">
        <v>1310373.36</v>
      </c>
      <c r="K253" s="82">
        <f t="shared" si="33"/>
        <v>2956088.09</v>
      </c>
    </row>
    <row r="254" spans="1:11" s="83" customFormat="1" ht="36" customHeight="1" hidden="1">
      <c r="A254" s="75" t="s">
        <v>467</v>
      </c>
      <c r="B254" s="76">
        <v>2</v>
      </c>
      <c r="C254" s="77"/>
      <c r="D254" s="78" t="s">
        <v>65</v>
      </c>
      <c r="E254" s="79" t="s">
        <v>188</v>
      </c>
      <c r="F254" s="79" t="s">
        <v>210</v>
      </c>
      <c r="G254" s="79" t="s">
        <v>178</v>
      </c>
      <c r="H254" s="80" t="s">
        <v>178</v>
      </c>
      <c r="I254" s="81">
        <f aca="true" t="shared" si="34" ref="I254:J267">I255</f>
        <v>0</v>
      </c>
      <c r="J254" s="81">
        <f t="shared" si="34"/>
        <v>0</v>
      </c>
      <c r="K254" s="82">
        <f t="shared" si="33"/>
        <v>0</v>
      </c>
    </row>
    <row r="255" spans="1:11" s="83" customFormat="1" ht="35.25" customHeight="1" hidden="1">
      <c r="A255" s="75" t="s">
        <v>364</v>
      </c>
      <c r="B255" s="76">
        <v>2</v>
      </c>
      <c r="C255" s="77"/>
      <c r="D255" s="78" t="s">
        <v>65</v>
      </c>
      <c r="E255" s="79" t="s">
        <v>188</v>
      </c>
      <c r="F255" s="79" t="s">
        <v>210</v>
      </c>
      <c r="G255" s="79" t="s">
        <v>305</v>
      </c>
      <c r="H255" s="80" t="s">
        <v>178</v>
      </c>
      <c r="I255" s="81">
        <f t="shared" si="34"/>
        <v>0</v>
      </c>
      <c r="J255" s="81">
        <f t="shared" si="34"/>
        <v>0</v>
      </c>
      <c r="K255" s="82">
        <f t="shared" si="33"/>
        <v>0</v>
      </c>
    </row>
    <row r="256" spans="1:11" s="83" customFormat="1" ht="12.75" hidden="1">
      <c r="A256" s="75" t="s">
        <v>243</v>
      </c>
      <c r="B256" s="76">
        <v>2</v>
      </c>
      <c r="C256" s="77"/>
      <c r="D256" s="78" t="s">
        <v>65</v>
      </c>
      <c r="E256" s="79" t="s">
        <v>188</v>
      </c>
      <c r="F256" s="79" t="s">
        <v>210</v>
      </c>
      <c r="G256" s="79" t="s">
        <v>305</v>
      </c>
      <c r="H256" s="80" t="s">
        <v>18</v>
      </c>
      <c r="I256" s="81">
        <f t="shared" si="34"/>
        <v>0</v>
      </c>
      <c r="J256" s="81">
        <f t="shared" si="34"/>
        <v>0</v>
      </c>
      <c r="K256" s="82">
        <f t="shared" si="33"/>
        <v>0</v>
      </c>
    </row>
    <row r="257" spans="1:11" s="83" customFormat="1" ht="23.25" customHeight="1" hidden="1">
      <c r="A257" s="75" t="s">
        <v>278</v>
      </c>
      <c r="B257" s="76">
        <v>2</v>
      </c>
      <c r="C257" s="77"/>
      <c r="D257" s="78" t="s">
        <v>65</v>
      </c>
      <c r="E257" s="79" t="s">
        <v>188</v>
      </c>
      <c r="F257" s="79" t="s">
        <v>210</v>
      </c>
      <c r="G257" s="79" t="s">
        <v>305</v>
      </c>
      <c r="H257" s="80" t="s">
        <v>232</v>
      </c>
      <c r="I257" s="81">
        <f t="shared" si="34"/>
        <v>0</v>
      </c>
      <c r="J257" s="81">
        <f t="shared" si="34"/>
        <v>0</v>
      </c>
      <c r="K257" s="82">
        <f t="shared" si="33"/>
        <v>0</v>
      </c>
    </row>
    <row r="258" spans="1:11" s="83" customFormat="1" ht="22.5" customHeight="1" hidden="1">
      <c r="A258" s="75" t="s">
        <v>282</v>
      </c>
      <c r="B258" s="76">
        <v>2</v>
      </c>
      <c r="C258" s="77"/>
      <c r="D258" s="78" t="s">
        <v>65</v>
      </c>
      <c r="E258" s="79" t="s">
        <v>188</v>
      </c>
      <c r="F258" s="79" t="s">
        <v>210</v>
      </c>
      <c r="G258" s="79" t="s">
        <v>305</v>
      </c>
      <c r="H258" s="80" t="s">
        <v>234</v>
      </c>
      <c r="I258" s="81"/>
      <c r="J258" s="84"/>
      <c r="K258" s="82">
        <f t="shared" si="33"/>
        <v>0</v>
      </c>
    </row>
    <row r="259" spans="1:11" s="83" customFormat="1" ht="36" customHeight="1">
      <c r="A259" s="75" t="s">
        <v>468</v>
      </c>
      <c r="B259" s="76">
        <v>2</v>
      </c>
      <c r="C259" s="77"/>
      <c r="D259" s="78" t="s">
        <v>65</v>
      </c>
      <c r="E259" s="79" t="s">
        <v>188</v>
      </c>
      <c r="F259" s="79" t="s">
        <v>463</v>
      </c>
      <c r="G259" s="79" t="s">
        <v>178</v>
      </c>
      <c r="H259" s="80" t="s">
        <v>178</v>
      </c>
      <c r="I259" s="81">
        <f t="shared" si="34"/>
        <v>300000</v>
      </c>
      <c r="J259" s="81">
        <f t="shared" si="34"/>
        <v>0</v>
      </c>
      <c r="K259" s="82">
        <f t="shared" si="33"/>
        <v>300000</v>
      </c>
    </row>
    <row r="260" spans="1:11" s="83" customFormat="1" ht="35.25" customHeight="1">
      <c r="A260" s="75" t="s">
        <v>364</v>
      </c>
      <c r="B260" s="76">
        <v>2</v>
      </c>
      <c r="C260" s="77"/>
      <c r="D260" s="78" t="s">
        <v>65</v>
      </c>
      <c r="E260" s="79" t="s">
        <v>188</v>
      </c>
      <c r="F260" s="79" t="s">
        <v>463</v>
      </c>
      <c r="G260" s="79" t="s">
        <v>305</v>
      </c>
      <c r="H260" s="80" t="s">
        <v>178</v>
      </c>
      <c r="I260" s="81">
        <f t="shared" si="34"/>
        <v>300000</v>
      </c>
      <c r="J260" s="81">
        <f t="shared" si="34"/>
        <v>0</v>
      </c>
      <c r="K260" s="82">
        <f t="shared" si="33"/>
        <v>300000</v>
      </c>
    </row>
    <row r="261" spans="1:11" s="83" customFormat="1" ht="12.75">
      <c r="A261" s="75" t="s">
        <v>243</v>
      </c>
      <c r="B261" s="76">
        <v>2</v>
      </c>
      <c r="C261" s="77"/>
      <c r="D261" s="78" t="s">
        <v>65</v>
      </c>
      <c r="E261" s="79" t="s">
        <v>188</v>
      </c>
      <c r="F261" s="79" t="s">
        <v>463</v>
      </c>
      <c r="G261" s="79" t="s">
        <v>305</v>
      </c>
      <c r="H261" s="80" t="s">
        <v>18</v>
      </c>
      <c r="I261" s="81">
        <f t="shared" si="34"/>
        <v>300000</v>
      </c>
      <c r="J261" s="81">
        <f t="shared" si="34"/>
        <v>0</v>
      </c>
      <c r="K261" s="82">
        <f t="shared" si="33"/>
        <v>300000</v>
      </c>
    </row>
    <row r="262" spans="1:11" s="83" customFormat="1" ht="23.25" customHeight="1">
      <c r="A262" s="75" t="s">
        <v>278</v>
      </c>
      <c r="B262" s="76">
        <v>2</v>
      </c>
      <c r="C262" s="77"/>
      <c r="D262" s="78" t="s">
        <v>65</v>
      </c>
      <c r="E262" s="79" t="s">
        <v>188</v>
      </c>
      <c r="F262" s="79" t="s">
        <v>463</v>
      </c>
      <c r="G262" s="79" t="s">
        <v>305</v>
      </c>
      <c r="H262" s="80" t="s">
        <v>232</v>
      </c>
      <c r="I262" s="81">
        <f t="shared" si="34"/>
        <v>300000</v>
      </c>
      <c r="J262" s="81">
        <f t="shared" si="34"/>
        <v>0</v>
      </c>
      <c r="K262" s="82">
        <f t="shared" si="33"/>
        <v>300000</v>
      </c>
    </row>
    <row r="263" spans="1:11" s="83" customFormat="1" ht="22.5" customHeight="1">
      <c r="A263" s="75" t="s">
        <v>282</v>
      </c>
      <c r="B263" s="76">
        <v>2</v>
      </c>
      <c r="C263" s="77"/>
      <c r="D263" s="78" t="s">
        <v>65</v>
      </c>
      <c r="E263" s="79" t="s">
        <v>188</v>
      </c>
      <c r="F263" s="79" t="s">
        <v>463</v>
      </c>
      <c r="G263" s="79" t="s">
        <v>305</v>
      </c>
      <c r="H263" s="80" t="s">
        <v>234</v>
      </c>
      <c r="I263" s="81">
        <f>300000</f>
        <v>300000</v>
      </c>
      <c r="J263" s="84">
        <v>0</v>
      </c>
      <c r="K263" s="82">
        <f t="shared" si="33"/>
        <v>300000</v>
      </c>
    </row>
    <row r="264" spans="1:11" s="83" customFormat="1" ht="33" customHeight="1">
      <c r="A264" s="75" t="s">
        <v>469</v>
      </c>
      <c r="B264" s="76">
        <v>2</v>
      </c>
      <c r="C264" s="77"/>
      <c r="D264" s="78" t="s">
        <v>65</v>
      </c>
      <c r="E264" s="79" t="s">
        <v>188</v>
      </c>
      <c r="F264" s="79" t="s">
        <v>464</v>
      </c>
      <c r="G264" s="79" t="s">
        <v>178</v>
      </c>
      <c r="H264" s="80" t="s">
        <v>178</v>
      </c>
      <c r="I264" s="81">
        <f t="shared" si="34"/>
        <v>800000</v>
      </c>
      <c r="J264" s="81">
        <f t="shared" si="34"/>
        <v>0</v>
      </c>
      <c r="K264" s="82">
        <f t="shared" si="33"/>
        <v>800000</v>
      </c>
    </row>
    <row r="265" spans="1:11" s="83" customFormat="1" ht="35.25" customHeight="1">
      <c r="A265" s="75" t="s">
        <v>364</v>
      </c>
      <c r="B265" s="76">
        <v>2</v>
      </c>
      <c r="C265" s="77"/>
      <c r="D265" s="78" t="s">
        <v>65</v>
      </c>
      <c r="E265" s="79" t="s">
        <v>188</v>
      </c>
      <c r="F265" s="79" t="s">
        <v>464</v>
      </c>
      <c r="G265" s="79" t="s">
        <v>305</v>
      </c>
      <c r="H265" s="80" t="s">
        <v>178</v>
      </c>
      <c r="I265" s="81">
        <f t="shared" si="34"/>
        <v>800000</v>
      </c>
      <c r="J265" s="81">
        <f t="shared" si="34"/>
        <v>0</v>
      </c>
      <c r="K265" s="82">
        <f t="shared" si="33"/>
        <v>800000</v>
      </c>
    </row>
    <row r="266" spans="1:11" s="83" customFormat="1" ht="12.75">
      <c r="A266" s="75" t="s">
        <v>243</v>
      </c>
      <c r="B266" s="76">
        <v>2</v>
      </c>
      <c r="C266" s="77"/>
      <c r="D266" s="78" t="s">
        <v>65</v>
      </c>
      <c r="E266" s="79" t="s">
        <v>188</v>
      </c>
      <c r="F266" s="79" t="s">
        <v>464</v>
      </c>
      <c r="G266" s="79" t="s">
        <v>305</v>
      </c>
      <c r="H266" s="80" t="s">
        <v>18</v>
      </c>
      <c r="I266" s="81">
        <f t="shared" si="34"/>
        <v>800000</v>
      </c>
      <c r="J266" s="81">
        <f t="shared" si="34"/>
        <v>0</v>
      </c>
      <c r="K266" s="82">
        <f t="shared" si="33"/>
        <v>800000</v>
      </c>
    </row>
    <row r="267" spans="1:11" s="83" customFormat="1" ht="23.25" customHeight="1">
      <c r="A267" s="75" t="s">
        <v>278</v>
      </c>
      <c r="B267" s="76">
        <v>2</v>
      </c>
      <c r="C267" s="77"/>
      <c r="D267" s="78" t="s">
        <v>65</v>
      </c>
      <c r="E267" s="79" t="s">
        <v>188</v>
      </c>
      <c r="F267" s="79" t="s">
        <v>464</v>
      </c>
      <c r="G267" s="79" t="s">
        <v>305</v>
      </c>
      <c r="H267" s="80" t="s">
        <v>232</v>
      </c>
      <c r="I267" s="81">
        <f t="shared" si="34"/>
        <v>800000</v>
      </c>
      <c r="J267" s="81">
        <f t="shared" si="34"/>
        <v>0</v>
      </c>
      <c r="K267" s="82">
        <f t="shared" si="33"/>
        <v>800000</v>
      </c>
    </row>
    <row r="268" spans="1:11" s="83" customFormat="1" ht="22.5" customHeight="1">
      <c r="A268" s="75" t="s">
        <v>282</v>
      </c>
      <c r="B268" s="76">
        <v>2</v>
      </c>
      <c r="C268" s="77"/>
      <c r="D268" s="78" t="s">
        <v>65</v>
      </c>
      <c r="E268" s="79" t="s">
        <v>188</v>
      </c>
      <c r="F268" s="79" t="s">
        <v>464</v>
      </c>
      <c r="G268" s="79" t="s">
        <v>305</v>
      </c>
      <c r="H268" s="80" t="s">
        <v>234</v>
      </c>
      <c r="I268" s="81">
        <f>800000</f>
        <v>800000</v>
      </c>
      <c r="J268" s="84">
        <v>0</v>
      </c>
      <c r="K268" s="82">
        <f t="shared" si="33"/>
        <v>800000</v>
      </c>
    </row>
    <row r="269" spans="1:11" s="83" customFormat="1" ht="36.75" customHeight="1">
      <c r="A269" s="75" t="s">
        <v>470</v>
      </c>
      <c r="B269" s="76">
        <v>2</v>
      </c>
      <c r="C269" s="77"/>
      <c r="D269" s="78" t="s">
        <v>65</v>
      </c>
      <c r="E269" s="79" t="s">
        <v>188</v>
      </c>
      <c r="F269" s="79" t="s">
        <v>465</v>
      </c>
      <c r="G269" s="79" t="s">
        <v>178</v>
      </c>
      <c r="H269" s="80" t="s">
        <v>178</v>
      </c>
      <c r="I269" s="81">
        <f>I270</f>
        <v>2143400</v>
      </c>
      <c r="J269" s="81">
        <f>J270</f>
        <v>349900</v>
      </c>
      <c r="K269" s="82">
        <f aca="true" t="shared" si="35" ref="K269:K277">IF(ISNUMBER(I269),I269,0)-IF(ISNUMBER(J269),J269,0)</f>
        <v>1793500</v>
      </c>
    </row>
    <row r="270" spans="1:11" s="83" customFormat="1" ht="12.75" customHeight="1">
      <c r="A270" s="75" t="s">
        <v>256</v>
      </c>
      <c r="B270" s="76">
        <v>2</v>
      </c>
      <c r="C270" s="77"/>
      <c r="D270" s="78" t="s">
        <v>65</v>
      </c>
      <c r="E270" s="79" t="s">
        <v>188</v>
      </c>
      <c r="F270" s="79" t="s">
        <v>465</v>
      </c>
      <c r="G270" s="79" t="s">
        <v>213</v>
      </c>
      <c r="H270" s="80" t="s">
        <v>178</v>
      </c>
      <c r="I270" s="81">
        <f>I271+I277</f>
        <v>2143400</v>
      </c>
      <c r="J270" s="81">
        <f>J271+J277</f>
        <v>349900</v>
      </c>
      <c r="K270" s="82">
        <f t="shared" si="35"/>
        <v>1793500</v>
      </c>
    </row>
    <row r="271" spans="1:11" s="83" customFormat="1" ht="12.75" customHeight="1">
      <c r="A271" s="75" t="s">
        <v>243</v>
      </c>
      <c r="B271" s="76">
        <v>2</v>
      </c>
      <c r="C271" s="77"/>
      <c r="D271" s="78" t="s">
        <v>65</v>
      </c>
      <c r="E271" s="79" t="s">
        <v>188</v>
      </c>
      <c r="F271" s="79" t="s">
        <v>465</v>
      </c>
      <c r="G271" s="79" t="s">
        <v>213</v>
      </c>
      <c r="H271" s="80" t="s">
        <v>18</v>
      </c>
      <c r="I271" s="81">
        <f>I272+I276</f>
        <v>2143400</v>
      </c>
      <c r="J271" s="81">
        <f>J272+J276</f>
        <v>349900</v>
      </c>
      <c r="K271" s="82">
        <f t="shared" si="35"/>
        <v>1793500</v>
      </c>
    </row>
    <row r="272" spans="1:11" s="83" customFormat="1" ht="12.75" customHeight="1">
      <c r="A272" s="75" t="s">
        <v>244</v>
      </c>
      <c r="B272" s="76">
        <v>2</v>
      </c>
      <c r="C272" s="77"/>
      <c r="D272" s="78" t="s">
        <v>65</v>
      </c>
      <c r="E272" s="79" t="s">
        <v>188</v>
      </c>
      <c r="F272" s="79" t="s">
        <v>465</v>
      </c>
      <c r="G272" s="79" t="s">
        <v>213</v>
      </c>
      <c r="H272" s="80" t="s">
        <v>216</v>
      </c>
      <c r="I272" s="81">
        <f>I274+I275</f>
        <v>2048400</v>
      </c>
      <c r="J272" s="81">
        <f>J274+J275</f>
        <v>339900</v>
      </c>
      <c r="K272" s="82">
        <f t="shared" si="35"/>
        <v>1708500</v>
      </c>
    </row>
    <row r="273" spans="1:11" s="83" customFormat="1" ht="12.75" customHeight="1" hidden="1">
      <c r="A273" s="75" t="s">
        <v>252</v>
      </c>
      <c r="B273" s="76">
        <v>2</v>
      </c>
      <c r="C273" s="77"/>
      <c r="D273" s="78" t="s">
        <v>65</v>
      </c>
      <c r="E273" s="79" t="s">
        <v>188</v>
      </c>
      <c r="F273" s="79" t="s">
        <v>465</v>
      </c>
      <c r="G273" s="79" t="s">
        <v>213</v>
      </c>
      <c r="H273" s="80" t="s">
        <v>222</v>
      </c>
      <c r="I273" s="81"/>
      <c r="J273" s="84"/>
      <c r="K273" s="82">
        <f t="shared" si="35"/>
        <v>0</v>
      </c>
    </row>
    <row r="274" spans="1:11" s="83" customFormat="1" ht="12.75" customHeight="1">
      <c r="A274" s="75" t="s">
        <v>255</v>
      </c>
      <c r="B274" s="76">
        <v>2</v>
      </c>
      <c r="C274" s="77"/>
      <c r="D274" s="78" t="s">
        <v>65</v>
      </c>
      <c r="E274" s="79" t="s">
        <v>188</v>
      </c>
      <c r="F274" s="79" t="s">
        <v>465</v>
      </c>
      <c r="G274" s="79" t="s">
        <v>213</v>
      </c>
      <c r="H274" s="80" t="s">
        <v>225</v>
      </c>
      <c r="I274" s="81">
        <v>1948400</v>
      </c>
      <c r="J274" s="84">
        <v>311100</v>
      </c>
      <c r="K274" s="82">
        <f t="shared" si="35"/>
        <v>1637300</v>
      </c>
    </row>
    <row r="275" spans="1:11" s="83" customFormat="1" ht="12.75" customHeight="1">
      <c r="A275" s="75" t="s">
        <v>245</v>
      </c>
      <c r="B275" s="76">
        <v>2</v>
      </c>
      <c r="C275" s="77"/>
      <c r="D275" s="78" t="s">
        <v>65</v>
      </c>
      <c r="E275" s="79" t="s">
        <v>188</v>
      </c>
      <c r="F275" s="79" t="s">
        <v>465</v>
      </c>
      <c r="G275" s="79" t="s">
        <v>213</v>
      </c>
      <c r="H275" s="80" t="s">
        <v>217</v>
      </c>
      <c r="I275" s="81">
        <f>100000</f>
        <v>100000</v>
      </c>
      <c r="J275" s="84">
        <f>28800</f>
        <v>28800</v>
      </c>
      <c r="K275" s="82">
        <f t="shared" si="35"/>
        <v>71200</v>
      </c>
    </row>
    <row r="276" spans="1:11" s="83" customFormat="1" ht="12.75" customHeight="1">
      <c r="A276" s="75" t="s">
        <v>256</v>
      </c>
      <c r="B276" s="76">
        <v>2</v>
      </c>
      <c r="C276" s="77"/>
      <c r="D276" s="78" t="s">
        <v>65</v>
      </c>
      <c r="E276" s="79" t="s">
        <v>188</v>
      </c>
      <c r="F276" s="79" t="s">
        <v>465</v>
      </c>
      <c r="G276" s="79" t="s">
        <v>213</v>
      </c>
      <c r="H276" s="80" t="s">
        <v>226</v>
      </c>
      <c r="I276" s="81">
        <f>95000</f>
        <v>95000</v>
      </c>
      <c r="J276" s="84">
        <f>10000</f>
        <v>10000</v>
      </c>
      <c r="K276" s="82">
        <f t="shared" si="35"/>
        <v>85000</v>
      </c>
    </row>
    <row r="277" spans="1:11" s="83" customFormat="1" ht="12.75" customHeight="1" hidden="1">
      <c r="A277" s="75" t="s">
        <v>257</v>
      </c>
      <c r="B277" s="76">
        <v>2</v>
      </c>
      <c r="C277" s="77"/>
      <c r="D277" s="78" t="s">
        <v>65</v>
      </c>
      <c r="E277" s="79" t="s">
        <v>188</v>
      </c>
      <c r="F277" s="79" t="s">
        <v>465</v>
      </c>
      <c r="G277" s="79" t="s">
        <v>213</v>
      </c>
      <c r="H277" s="80" t="s">
        <v>227</v>
      </c>
      <c r="I277" s="81">
        <f>I279+I278</f>
        <v>0</v>
      </c>
      <c r="J277" s="81">
        <f>J279+J278</f>
        <v>0</v>
      </c>
      <c r="K277" s="82">
        <f t="shared" si="35"/>
        <v>0</v>
      </c>
    </row>
    <row r="278" spans="1:11" s="83" customFormat="1" ht="12.75" customHeight="1" hidden="1">
      <c r="A278" s="75" t="s">
        <v>258</v>
      </c>
      <c r="B278" s="76">
        <v>2</v>
      </c>
      <c r="C278" s="77"/>
      <c r="D278" s="78" t="s">
        <v>65</v>
      </c>
      <c r="E278" s="79" t="s">
        <v>188</v>
      </c>
      <c r="F278" s="79" t="s">
        <v>465</v>
      </c>
      <c r="G278" s="79" t="s">
        <v>213</v>
      </c>
      <c r="H278" s="80" t="s">
        <v>228</v>
      </c>
      <c r="I278" s="81">
        <f>0</f>
        <v>0</v>
      </c>
      <c r="J278" s="84">
        <v>0</v>
      </c>
      <c r="K278" s="82">
        <f>IF(ISNUMBER(I278),I278,0)-IF(ISNUMBER(J278),J278,0)</f>
        <v>0</v>
      </c>
    </row>
    <row r="279" spans="1:11" s="83" customFormat="1" ht="12.75" customHeight="1" hidden="1">
      <c r="A279" s="75" t="s">
        <v>259</v>
      </c>
      <c r="B279" s="76">
        <v>2</v>
      </c>
      <c r="C279" s="77"/>
      <c r="D279" s="78" t="s">
        <v>65</v>
      </c>
      <c r="E279" s="79" t="s">
        <v>188</v>
      </c>
      <c r="F279" s="79" t="s">
        <v>465</v>
      </c>
      <c r="G279" s="79" t="s">
        <v>213</v>
      </c>
      <c r="H279" s="80" t="s">
        <v>229</v>
      </c>
      <c r="I279" s="81">
        <f>0</f>
        <v>0</v>
      </c>
      <c r="J279" s="84">
        <v>0</v>
      </c>
      <c r="K279" s="82">
        <f>IF(ISNUMBER(I279),I279,0)-IF(ISNUMBER(J279),J279,0)</f>
        <v>0</v>
      </c>
    </row>
    <row r="280" spans="1:11" s="83" customFormat="1" ht="13.5" customHeight="1" hidden="1">
      <c r="A280" s="75" t="s">
        <v>420</v>
      </c>
      <c r="B280" s="76"/>
      <c r="C280" s="77"/>
      <c r="D280" s="78" t="s">
        <v>65</v>
      </c>
      <c r="E280" s="79" t="s">
        <v>417</v>
      </c>
      <c r="F280" s="79"/>
      <c r="G280" s="79"/>
      <c r="H280" s="80"/>
      <c r="I280" s="81">
        <f>I281</f>
        <v>0</v>
      </c>
      <c r="J280" s="81">
        <f>J281</f>
        <v>0</v>
      </c>
      <c r="K280" s="82">
        <f aca="true" t="shared" si="36" ref="K280:K292">IF(ISNUMBER(I280),I280,0)-IF(ISNUMBER(J280),J280,0)</f>
        <v>0</v>
      </c>
    </row>
    <row r="281" spans="1:11" s="83" customFormat="1" ht="22.5" customHeight="1" hidden="1">
      <c r="A281" s="75" t="s">
        <v>421</v>
      </c>
      <c r="B281" s="76">
        <v>2</v>
      </c>
      <c r="C281" s="77"/>
      <c r="D281" s="78" t="s">
        <v>65</v>
      </c>
      <c r="E281" s="79" t="s">
        <v>418</v>
      </c>
      <c r="F281" s="79" t="s">
        <v>178</v>
      </c>
      <c r="G281" s="79" t="s">
        <v>178</v>
      </c>
      <c r="H281" s="80" t="s">
        <v>178</v>
      </c>
      <c r="I281" s="81">
        <f aca="true" t="shared" si="37" ref="I281:J285">I282</f>
        <v>0</v>
      </c>
      <c r="J281" s="81">
        <f t="shared" si="37"/>
        <v>0</v>
      </c>
      <c r="K281" s="82">
        <f t="shared" si="36"/>
        <v>0</v>
      </c>
    </row>
    <row r="282" spans="1:11" s="83" customFormat="1" ht="12.75" customHeight="1" hidden="1">
      <c r="A282" s="75" t="s">
        <v>422</v>
      </c>
      <c r="B282" s="76">
        <v>2</v>
      </c>
      <c r="C282" s="77"/>
      <c r="D282" s="78" t="s">
        <v>65</v>
      </c>
      <c r="E282" s="79" t="s">
        <v>418</v>
      </c>
      <c r="F282" s="79" t="s">
        <v>419</v>
      </c>
      <c r="G282" s="79" t="s">
        <v>178</v>
      </c>
      <c r="H282" s="80" t="s">
        <v>178</v>
      </c>
      <c r="I282" s="81">
        <f t="shared" si="37"/>
        <v>0</v>
      </c>
      <c r="J282" s="81">
        <f t="shared" si="37"/>
        <v>0</v>
      </c>
      <c r="K282" s="82">
        <f t="shared" si="36"/>
        <v>0</v>
      </c>
    </row>
    <row r="283" spans="1:11" s="83" customFormat="1" ht="12.75" customHeight="1" hidden="1">
      <c r="A283" s="75" t="s">
        <v>256</v>
      </c>
      <c r="B283" s="76">
        <v>2</v>
      </c>
      <c r="C283" s="77"/>
      <c r="D283" s="78" t="s">
        <v>65</v>
      </c>
      <c r="E283" s="79" t="s">
        <v>418</v>
      </c>
      <c r="F283" s="79" t="s">
        <v>419</v>
      </c>
      <c r="G283" s="79" t="s">
        <v>213</v>
      </c>
      <c r="H283" s="80" t="s">
        <v>178</v>
      </c>
      <c r="I283" s="81">
        <f t="shared" si="37"/>
        <v>0</v>
      </c>
      <c r="J283" s="81">
        <f t="shared" si="37"/>
        <v>0</v>
      </c>
      <c r="K283" s="82">
        <f t="shared" si="36"/>
        <v>0</v>
      </c>
    </row>
    <row r="284" spans="1:11" s="83" customFormat="1" ht="12.75" customHeight="1" hidden="1">
      <c r="A284" s="75" t="s">
        <v>243</v>
      </c>
      <c r="B284" s="76">
        <v>2</v>
      </c>
      <c r="C284" s="77"/>
      <c r="D284" s="78" t="s">
        <v>65</v>
      </c>
      <c r="E284" s="79" t="s">
        <v>418</v>
      </c>
      <c r="F284" s="79" t="s">
        <v>419</v>
      </c>
      <c r="G284" s="79" t="s">
        <v>213</v>
      </c>
      <c r="H284" s="80" t="s">
        <v>18</v>
      </c>
      <c r="I284" s="81">
        <f t="shared" si="37"/>
        <v>0</v>
      </c>
      <c r="J284" s="81">
        <f t="shared" si="37"/>
        <v>0</v>
      </c>
      <c r="K284" s="82">
        <f t="shared" si="36"/>
        <v>0</v>
      </c>
    </row>
    <row r="285" spans="1:11" s="83" customFormat="1" ht="12.75" customHeight="1" hidden="1">
      <c r="A285" s="75" t="s">
        <v>244</v>
      </c>
      <c r="B285" s="76">
        <v>2</v>
      </c>
      <c r="C285" s="77"/>
      <c r="D285" s="78" t="s">
        <v>65</v>
      </c>
      <c r="E285" s="79" t="s">
        <v>418</v>
      </c>
      <c r="F285" s="79" t="s">
        <v>419</v>
      </c>
      <c r="G285" s="79" t="s">
        <v>213</v>
      </c>
      <c r="H285" s="80" t="s">
        <v>216</v>
      </c>
      <c r="I285" s="81">
        <f t="shared" si="37"/>
        <v>0</v>
      </c>
      <c r="J285" s="81">
        <f t="shared" si="37"/>
        <v>0</v>
      </c>
      <c r="K285" s="82">
        <f t="shared" si="36"/>
        <v>0</v>
      </c>
    </row>
    <row r="286" spans="1:11" s="83" customFormat="1" ht="12.75" customHeight="1" hidden="1">
      <c r="A286" s="75" t="s">
        <v>255</v>
      </c>
      <c r="B286" s="76">
        <v>2</v>
      </c>
      <c r="C286" s="77"/>
      <c r="D286" s="78" t="s">
        <v>65</v>
      </c>
      <c r="E286" s="79" t="s">
        <v>418</v>
      </c>
      <c r="F286" s="79" t="s">
        <v>419</v>
      </c>
      <c r="G286" s="79" t="s">
        <v>213</v>
      </c>
      <c r="H286" s="80" t="s">
        <v>225</v>
      </c>
      <c r="I286" s="81">
        <f>0</f>
        <v>0</v>
      </c>
      <c r="J286" s="84">
        <v>0</v>
      </c>
      <c r="K286" s="82">
        <f t="shared" si="36"/>
        <v>0</v>
      </c>
    </row>
    <row r="287" spans="1:11" s="83" customFormat="1" ht="12.75" customHeight="1">
      <c r="A287" s="75" t="s">
        <v>428</v>
      </c>
      <c r="B287" s="76">
        <v>2</v>
      </c>
      <c r="C287" s="77"/>
      <c r="D287" s="78" t="s">
        <v>65</v>
      </c>
      <c r="E287" s="79" t="s">
        <v>427</v>
      </c>
      <c r="F287" s="79" t="s">
        <v>178</v>
      </c>
      <c r="G287" s="79" t="s">
        <v>178</v>
      </c>
      <c r="H287" s="80" t="s">
        <v>178</v>
      </c>
      <c r="I287" s="81">
        <f>I288</f>
        <v>70000</v>
      </c>
      <c r="J287" s="81">
        <f>J288</f>
        <v>70000</v>
      </c>
      <c r="K287" s="82">
        <f t="shared" si="36"/>
        <v>0</v>
      </c>
    </row>
    <row r="288" spans="1:11" s="83" customFormat="1" ht="34.5" customHeight="1">
      <c r="A288" s="75" t="s">
        <v>372</v>
      </c>
      <c r="B288" s="76">
        <v>2</v>
      </c>
      <c r="C288" s="77"/>
      <c r="D288" s="78" t="s">
        <v>65</v>
      </c>
      <c r="E288" s="79" t="s">
        <v>427</v>
      </c>
      <c r="F288" s="79" t="s">
        <v>354</v>
      </c>
      <c r="G288" s="79" t="s">
        <v>178</v>
      </c>
      <c r="H288" s="80" t="s">
        <v>178</v>
      </c>
      <c r="I288" s="81">
        <f aca="true" t="shared" si="38" ref="I288:J291">I289</f>
        <v>70000</v>
      </c>
      <c r="J288" s="81">
        <f t="shared" si="38"/>
        <v>70000</v>
      </c>
      <c r="K288" s="82">
        <f t="shared" si="36"/>
        <v>0</v>
      </c>
    </row>
    <row r="289" spans="1:11" s="83" customFormat="1" ht="12.75" customHeight="1">
      <c r="A289" s="75" t="s">
        <v>289</v>
      </c>
      <c r="B289" s="76">
        <v>2</v>
      </c>
      <c r="C289" s="77"/>
      <c r="D289" s="78" t="s">
        <v>65</v>
      </c>
      <c r="E289" s="79" t="s">
        <v>427</v>
      </c>
      <c r="F289" s="79" t="s">
        <v>354</v>
      </c>
      <c r="G289" s="79" t="s">
        <v>353</v>
      </c>
      <c r="H289" s="80" t="s">
        <v>178</v>
      </c>
      <c r="I289" s="81">
        <f t="shared" si="38"/>
        <v>70000</v>
      </c>
      <c r="J289" s="81">
        <f t="shared" si="38"/>
        <v>70000</v>
      </c>
      <c r="K289" s="82">
        <f t="shared" si="36"/>
        <v>0</v>
      </c>
    </row>
    <row r="290" spans="1:11" s="83" customFormat="1" ht="12.75">
      <c r="A290" s="75" t="s">
        <v>243</v>
      </c>
      <c r="B290" s="76">
        <v>2</v>
      </c>
      <c r="C290" s="77"/>
      <c r="D290" s="78" t="s">
        <v>65</v>
      </c>
      <c r="E290" s="79" t="s">
        <v>427</v>
      </c>
      <c r="F290" s="79" t="s">
        <v>354</v>
      </c>
      <c r="G290" s="79" t="s">
        <v>353</v>
      </c>
      <c r="H290" s="80" t="s">
        <v>18</v>
      </c>
      <c r="I290" s="81">
        <f t="shared" si="38"/>
        <v>70000</v>
      </c>
      <c r="J290" s="81">
        <f t="shared" si="38"/>
        <v>70000</v>
      </c>
      <c r="K290" s="82">
        <f t="shared" si="36"/>
        <v>0</v>
      </c>
    </row>
    <row r="291" spans="1:11" s="83" customFormat="1" ht="24" customHeight="1">
      <c r="A291" s="75" t="s">
        <v>290</v>
      </c>
      <c r="B291" s="76">
        <v>2</v>
      </c>
      <c r="C291" s="77"/>
      <c r="D291" s="78" t="s">
        <v>65</v>
      </c>
      <c r="E291" s="79" t="s">
        <v>427</v>
      </c>
      <c r="F291" s="79" t="s">
        <v>354</v>
      </c>
      <c r="G291" s="79" t="s">
        <v>353</v>
      </c>
      <c r="H291" s="80" t="s">
        <v>235</v>
      </c>
      <c r="I291" s="81">
        <f t="shared" si="38"/>
        <v>70000</v>
      </c>
      <c r="J291" s="81">
        <f t="shared" si="38"/>
        <v>70000</v>
      </c>
      <c r="K291" s="82">
        <f t="shared" si="36"/>
        <v>0</v>
      </c>
    </row>
    <row r="292" spans="1:11" s="83" customFormat="1" ht="23.25" customHeight="1">
      <c r="A292" s="75" t="s">
        <v>291</v>
      </c>
      <c r="B292" s="76">
        <v>2</v>
      </c>
      <c r="C292" s="77"/>
      <c r="D292" s="78" t="s">
        <v>65</v>
      </c>
      <c r="E292" s="79" t="s">
        <v>427</v>
      </c>
      <c r="F292" s="79" t="s">
        <v>354</v>
      </c>
      <c r="G292" s="79" t="s">
        <v>353</v>
      </c>
      <c r="H292" s="80" t="s">
        <v>236</v>
      </c>
      <c r="I292" s="81">
        <v>70000</v>
      </c>
      <c r="J292" s="84">
        <v>70000</v>
      </c>
      <c r="K292" s="82">
        <f t="shared" si="36"/>
        <v>0</v>
      </c>
    </row>
    <row r="293" spans="1:11" s="83" customFormat="1" ht="12.75">
      <c r="A293" s="75" t="s">
        <v>292</v>
      </c>
      <c r="B293" s="76">
        <v>2</v>
      </c>
      <c r="C293" s="77"/>
      <c r="D293" s="78" t="s">
        <v>65</v>
      </c>
      <c r="E293" s="79" t="s">
        <v>189</v>
      </c>
      <c r="F293" s="79" t="s">
        <v>178</v>
      </c>
      <c r="G293" s="79" t="s">
        <v>178</v>
      </c>
      <c r="H293" s="80" t="s">
        <v>178</v>
      </c>
      <c r="I293" s="81">
        <f>I294+I310+I320</f>
        <v>10069853.52</v>
      </c>
      <c r="J293" s="81">
        <f>J294+J310+J320</f>
        <v>1594616.46</v>
      </c>
      <c r="K293" s="82">
        <f aca="true" t="shared" si="39" ref="K293:K308">IF(ISNUMBER(I293),I293,0)-IF(ISNUMBER(J293),J293,0)</f>
        <v>8475237.059999999</v>
      </c>
    </row>
    <row r="294" spans="1:11" s="83" customFormat="1" ht="44.25" customHeight="1">
      <c r="A294" s="75" t="s">
        <v>367</v>
      </c>
      <c r="B294" s="76">
        <v>2</v>
      </c>
      <c r="C294" s="77"/>
      <c r="D294" s="78" t="s">
        <v>65</v>
      </c>
      <c r="E294" s="79" t="s">
        <v>189</v>
      </c>
      <c r="F294" s="79" t="s">
        <v>350</v>
      </c>
      <c r="G294" s="79" t="s">
        <v>178</v>
      </c>
      <c r="H294" s="80" t="s">
        <v>178</v>
      </c>
      <c r="I294" s="81">
        <f>I295</f>
        <v>8888396</v>
      </c>
      <c r="J294" s="81">
        <f>J295</f>
        <v>1436659.52</v>
      </c>
      <c r="K294" s="82">
        <f t="shared" si="39"/>
        <v>7451736.48</v>
      </c>
    </row>
    <row r="295" spans="1:11" s="83" customFormat="1" ht="12" customHeight="1">
      <c r="A295" s="75" t="s">
        <v>368</v>
      </c>
      <c r="B295" s="76">
        <v>2</v>
      </c>
      <c r="C295" s="77"/>
      <c r="D295" s="78" t="s">
        <v>65</v>
      </c>
      <c r="E295" s="79" t="s">
        <v>189</v>
      </c>
      <c r="F295" s="79" t="s">
        <v>350</v>
      </c>
      <c r="G295" s="79" t="s">
        <v>214</v>
      </c>
      <c r="H295" s="80" t="s">
        <v>178</v>
      </c>
      <c r="I295" s="81">
        <f>I296+I307</f>
        <v>8888396</v>
      </c>
      <c r="J295" s="81">
        <f>J296+J307</f>
        <v>1436659.52</v>
      </c>
      <c r="K295" s="82">
        <f t="shared" si="39"/>
        <v>7451736.48</v>
      </c>
    </row>
    <row r="296" spans="1:11" s="83" customFormat="1" ht="12.75">
      <c r="A296" s="75" t="s">
        <v>243</v>
      </c>
      <c r="B296" s="76">
        <v>2</v>
      </c>
      <c r="C296" s="77"/>
      <c r="D296" s="78" t="s">
        <v>65</v>
      </c>
      <c r="E296" s="79" t="s">
        <v>189</v>
      </c>
      <c r="F296" s="79" t="s">
        <v>350</v>
      </c>
      <c r="G296" s="79" t="s">
        <v>214</v>
      </c>
      <c r="H296" s="80" t="s">
        <v>18</v>
      </c>
      <c r="I296" s="81">
        <f>I297+I300+I306</f>
        <v>8348396</v>
      </c>
      <c r="J296" s="81">
        <f>J297+J300+J306</f>
        <v>1423209.52</v>
      </c>
      <c r="K296" s="82">
        <f t="shared" si="39"/>
        <v>6925186.48</v>
      </c>
    </row>
    <row r="297" spans="1:11" s="83" customFormat="1" ht="12.75" customHeight="1">
      <c r="A297" s="75" t="s">
        <v>248</v>
      </c>
      <c r="B297" s="76">
        <v>2</v>
      </c>
      <c r="C297" s="77"/>
      <c r="D297" s="78" t="s">
        <v>65</v>
      </c>
      <c r="E297" s="79" t="s">
        <v>189</v>
      </c>
      <c r="F297" s="79" t="s">
        <v>350</v>
      </c>
      <c r="G297" s="79" t="s">
        <v>214</v>
      </c>
      <c r="H297" s="80" t="s">
        <v>218</v>
      </c>
      <c r="I297" s="81">
        <f>I298+I299</f>
        <v>6271845</v>
      </c>
      <c r="J297" s="81">
        <f>J298+J299</f>
        <v>1206380.44</v>
      </c>
      <c r="K297" s="82">
        <f t="shared" si="39"/>
        <v>5065464.5600000005</v>
      </c>
    </row>
    <row r="298" spans="1:11" s="83" customFormat="1" ht="12.75" customHeight="1">
      <c r="A298" s="75" t="s">
        <v>249</v>
      </c>
      <c r="B298" s="76">
        <v>2</v>
      </c>
      <c r="C298" s="77"/>
      <c r="D298" s="78" t="s">
        <v>65</v>
      </c>
      <c r="E298" s="79" t="s">
        <v>189</v>
      </c>
      <c r="F298" s="79" t="s">
        <v>350</v>
      </c>
      <c r="G298" s="79" t="s">
        <v>214</v>
      </c>
      <c r="H298" s="80" t="s">
        <v>219</v>
      </c>
      <c r="I298" s="81">
        <f>4817085</f>
        <v>4817085</v>
      </c>
      <c r="J298" s="84">
        <v>980276.97</v>
      </c>
      <c r="K298" s="82">
        <f t="shared" si="39"/>
        <v>3836808.0300000003</v>
      </c>
    </row>
    <row r="299" spans="1:11" s="83" customFormat="1" ht="12.75" customHeight="1">
      <c r="A299" s="75" t="s">
        <v>250</v>
      </c>
      <c r="B299" s="76">
        <v>2</v>
      </c>
      <c r="C299" s="77"/>
      <c r="D299" s="78" t="s">
        <v>65</v>
      </c>
      <c r="E299" s="79" t="s">
        <v>189</v>
      </c>
      <c r="F299" s="79" t="s">
        <v>350</v>
      </c>
      <c r="G299" s="79" t="s">
        <v>214</v>
      </c>
      <c r="H299" s="80" t="s">
        <v>220</v>
      </c>
      <c r="I299" s="81">
        <f>1454760</f>
        <v>1454760</v>
      </c>
      <c r="J299" s="84">
        <v>226103.47</v>
      </c>
      <c r="K299" s="82">
        <f t="shared" si="39"/>
        <v>1228656.53</v>
      </c>
    </row>
    <row r="300" spans="1:11" s="83" customFormat="1" ht="12.75" customHeight="1">
      <c r="A300" s="75" t="s">
        <v>244</v>
      </c>
      <c r="B300" s="76">
        <v>2</v>
      </c>
      <c r="C300" s="77"/>
      <c r="D300" s="78" t="s">
        <v>65</v>
      </c>
      <c r="E300" s="79" t="s">
        <v>189</v>
      </c>
      <c r="F300" s="79" t="s">
        <v>350</v>
      </c>
      <c r="G300" s="79" t="s">
        <v>214</v>
      </c>
      <c r="H300" s="80" t="s">
        <v>216</v>
      </c>
      <c r="I300" s="81">
        <f>I301+I302+I303+I304+I305</f>
        <v>2039551</v>
      </c>
      <c r="J300" s="81">
        <f>J301+J302+J303+J304+J305</f>
        <v>205829.08</v>
      </c>
      <c r="K300" s="82">
        <f t="shared" si="39"/>
        <v>1833721.92</v>
      </c>
    </row>
    <row r="301" spans="1:11" s="83" customFormat="1" ht="12.75" customHeight="1">
      <c r="A301" s="75" t="s">
        <v>251</v>
      </c>
      <c r="B301" s="76">
        <v>2</v>
      </c>
      <c r="C301" s="77"/>
      <c r="D301" s="78" t="s">
        <v>65</v>
      </c>
      <c r="E301" s="79" t="s">
        <v>189</v>
      </c>
      <c r="F301" s="79" t="s">
        <v>350</v>
      </c>
      <c r="G301" s="79" t="s">
        <v>214</v>
      </c>
      <c r="H301" s="80" t="s">
        <v>221</v>
      </c>
      <c r="I301" s="81">
        <v>39730</v>
      </c>
      <c r="J301" s="84">
        <v>7271.08</v>
      </c>
      <c r="K301" s="82">
        <f t="shared" si="39"/>
        <v>32458.92</v>
      </c>
    </row>
    <row r="302" spans="1:11" s="83" customFormat="1" ht="12.75" customHeight="1">
      <c r="A302" s="75" t="s">
        <v>252</v>
      </c>
      <c r="B302" s="76">
        <v>2</v>
      </c>
      <c r="C302" s="77"/>
      <c r="D302" s="78" t="s">
        <v>65</v>
      </c>
      <c r="E302" s="79" t="s">
        <v>189</v>
      </c>
      <c r="F302" s="79" t="s">
        <v>350</v>
      </c>
      <c r="G302" s="79" t="s">
        <v>214</v>
      </c>
      <c r="H302" s="80" t="s">
        <v>222</v>
      </c>
      <c r="I302" s="81">
        <f>15000</f>
        <v>15000</v>
      </c>
      <c r="J302" s="84">
        <v>0</v>
      </c>
      <c r="K302" s="82">
        <f t="shared" si="39"/>
        <v>15000</v>
      </c>
    </row>
    <row r="303" spans="1:11" s="83" customFormat="1" ht="12.75" customHeight="1">
      <c r="A303" s="75" t="s">
        <v>253</v>
      </c>
      <c r="B303" s="76">
        <v>2</v>
      </c>
      <c r="C303" s="77"/>
      <c r="D303" s="78" t="s">
        <v>65</v>
      </c>
      <c r="E303" s="79" t="s">
        <v>189</v>
      </c>
      <c r="F303" s="79" t="s">
        <v>350</v>
      </c>
      <c r="G303" s="79" t="s">
        <v>214</v>
      </c>
      <c r="H303" s="80" t="s">
        <v>223</v>
      </c>
      <c r="I303" s="81">
        <v>976196</v>
      </c>
      <c r="J303" s="84">
        <v>49649.91</v>
      </c>
      <c r="K303" s="82">
        <f t="shared" si="39"/>
        <v>926546.09</v>
      </c>
    </row>
    <row r="304" spans="1:11" s="83" customFormat="1" ht="12.75" customHeight="1">
      <c r="A304" s="75" t="s">
        <v>255</v>
      </c>
      <c r="B304" s="76">
        <v>2</v>
      </c>
      <c r="C304" s="77"/>
      <c r="D304" s="78" t="s">
        <v>65</v>
      </c>
      <c r="E304" s="79" t="s">
        <v>189</v>
      </c>
      <c r="F304" s="79" t="s">
        <v>350</v>
      </c>
      <c r="G304" s="79" t="s">
        <v>214</v>
      </c>
      <c r="H304" s="80" t="s">
        <v>225</v>
      </c>
      <c r="I304" s="81">
        <f>812000</f>
        <v>812000</v>
      </c>
      <c r="J304" s="84">
        <v>112950</v>
      </c>
      <c r="K304" s="82">
        <f t="shared" si="39"/>
        <v>699050</v>
      </c>
    </row>
    <row r="305" spans="1:11" s="83" customFormat="1" ht="12.75" customHeight="1">
      <c r="A305" s="75" t="s">
        <v>245</v>
      </c>
      <c r="B305" s="76">
        <v>2</v>
      </c>
      <c r="C305" s="77"/>
      <c r="D305" s="78" t="s">
        <v>65</v>
      </c>
      <c r="E305" s="79" t="s">
        <v>189</v>
      </c>
      <c r="F305" s="79" t="s">
        <v>350</v>
      </c>
      <c r="G305" s="79" t="s">
        <v>214</v>
      </c>
      <c r="H305" s="80" t="s">
        <v>217</v>
      </c>
      <c r="I305" s="81">
        <v>196625</v>
      </c>
      <c r="J305" s="84">
        <v>35958.09</v>
      </c>
      <c r="K305" s="82">
        <f t="shared" si="39"/>
        <v>160666.91</v>
      </c>
    </row>
    <row r="306" spans="1:11" s="83" customFormat="1" ht="12.75" customHeight="1">
      <c r="A306" s="75" t="s">
        <v>256</v>
      </c>
      <c r="B306" s="76">
        <v>2</v>
      </c>
      <c r="C306" s="77"/>
      <c r="D306" s="78" t="s">
        <v>65</v>
      </c>
      <c r="E306" s="79" t="s">
        <v>189</v>
      </c>
      <c r="F306" s="79" t="s">
        <v>350</v>
      </c>
      <c r="G306" s="79" t="s">
        <v>214</v>
      </c>
      <c r="H306" s="80" t="s">
        <v>226</v>
      </c>
      <c r="I306" s="81">
        <f>37000</f>
        <v>37000</v>
      </c>
      <c r="J306" s="84">
        <v>11000</v>
      </c>
      <c r="K306" s="82">
        <f t="shared" si="39"/>
        <v>26000</v>
      </c>
    </row>
    <row r="307" spans="1:11" s="83" customFormat="1" ht="12.75" customHeight="1">
      <c r="A307" s="75" t="s">
        <v>257</v>
      </c>
      <c r="B307" s="76">
        <v>2</v>
      </c>
      <c r="C307" s="77"/>
      <c r="D307" s="78" t="s">
        <v>65</v>
      </c>
      <c r="E307" s="79" t="s">
        <v>189</v>
      </c>
      <c r="F307" s="79" t="s">
        <v>350</v>
      </c>
      <c r="G307" s="79" t="s">
        <v>214</v>
      </c>
      <c r="H307" s="80" t="s">
        <v>227</v>
      </c>
      <c r="I307" s="81">
        <f>I308+I309</f>
        <v>540000</v>
      </c>
      <c r="J307" s="81">
        <f>J308+J309</f>
        <v>13450</v>
      </c>
      <c r="K307" s="82">
        <f t="shared" si="39"/>
        <v>526550</v>
      </c>
    </row>
    <row r="308" spans="1:11" s="83" customFormat="1" ht="12.75" customHeight="1">
      <c r="A308" s="75" t="s">
        <v>258</v>
      </c>
      <c r="B308" s="76">
        <v>2</v>
      </c>
      <c r="C308" s="77"/>
      <c r="D308" s="78" t="s">
        <v>65</v>
      </c>
      <c r="E308" s="79" t="s">
        <v>189</v>
      </c>
      <c r="F308" s="79" t="s">
        <v>350</v>
      </c>
      <c r="G308" s="79" t="s">
        <v>214</v>
      </c>
      <c r="H308" s="80" t="s">
        <v>228</v>
      </c>
      <c r="I308" s="81">
        <f>450000</f>
        <v>450000</v>
      </c>
      <c r="J308" s="84">
        <v>0</v>
      </c>
      <c r="K308" s="82">
        <f t="shared" si="39"/>
        <v>450000</v>
      </c>
    </row>
    <row r="309" spans="1:11" s="83" customFormat="1" ht="12.75" customHeight="1">
      <c r="A309" s="75" t="s">
        <v>259</v>
      </c>
      <c r="B309" s="76">
        <v>2</v>
      </c>
      <c r="C309" s="77"/>
      <c r="D309" s="78" t="s">
        <v>65</v>
      </c>
      <c r="E309" s="79" t="s">
        <v>189</v>
      </c>
      <c r="F309" s="79" t="s">
        <v>350</v>
      </c>
      <c r="G309" s="79" t="s">
        <v>214</v>
      </c>
      <c r="H309" s="80" t="s">
        <v>229</v>
      </c>
      <c r="I309" s="81">
        <f>90000</f>
        <v>90000</v>
      </c>
      <c r="J309" s="84">
        <v>13450</v>
      </c>
      <c r="K309" s="82">
        <f aca="true" t="shared" si="40" ref="K309:K372">IF(ISNUMBER(I309),I309,0)-IF(ISNUMBER(J309),J309,0)</f>
        <v>76550</v>
      </c>
    </row>
    <row r="310" spans="1:11" s="83" customFormat="1" ht="44.25" customHeight="1">
      <c r="A310" s="75" t="s">
        <v>369</v>
      </c>
      <c r="B310" s="76">
        <v>2</v>
      </c>
      <c r="C310" s="77"/>
      <c r="D310" s="78" t="s">
        <v>65</v>
      </c>
      <c r="E310" s="79" t="s">
        <v>189</v>
      </c>
      <c r="F310" s="79" t="s">
        <v>351</v>
      </c>
      <c r="G310" s="79" t="s">
        <v>178</v>
      </c>
      <c r="H310" s="80" t="s">
        <v>178</v>
      </c>
      <c r="I310" s="81">
        <f>I311</f>
        <v>73283.52</v>
      </c>
      <c r="J310" s="81">
        <f>J311</f>
        <v>0</v>
      </c>
      <c r="K310" s="82">
        <f t="shared" si="40"/>
        <v>73283.52</v>
      </c>
    </row>
    <row r="311" spans="1:11" s="83" customFormat="1" ht="12.75" customHeight="1">
      <c r="A311" s="75" t="s">
        <v>368</v>
      </c>
      <c r="B311" s="76">
        <v>2</v>
      </c>
      <c r="C311" s="77"/>
      <c r="D311" s="78" t="s">
        <v>65</v>
      </c>
      <c r="E311" s="79" t="s">
        <v>189</v>
      </c>
      <c r="F311" s="79" t="s">
        <v>351</v>
      </c>
      <c r="G311" s="79" t="s">
        <v>214</v>
      </c>
      <c r="H311" s="80" t="s">
        <v>178</v>
      </c>
      <c r="I311" s="81">
        <f>I312+I317</f>
        <v>73283.52</v>
      </c>
      <c r="J311" s="81">
        <f>J312+J317</f>
        <v>0</v>
      </c>
      <c r="K311" s="82">
        <f t="shared" si="40"/>
        <v>73283.52</v>
      </c>
    </row>
    <row r="312" spans="1:11" s="83" customFormat="1" ht="12.75" customHeight="1">
      <c r="A312" s="75" t="s">
        <v>243</v>
      </c>
      <c r="B312" s="76">
        <v>2</v>
      </c>
      <c r="C312" s="77"/>
      <c r="D312" s="78" t="s">
        <v>65</v>
      </c>
      <c r="E312" s="79" t="s">
        <v>189</v>
      </c>
      <c r="F312" s="79" t="s">
        <v>351</v>
      </c>
      <c r="G312" s="79" t="s">
        <v>214</v>
      </c>
      <c r="H312" s="80" t="s">
        <v>18</v>
      </c>
      <c r="I312" s="81">
        <f>I313+I316</f>
        <v>39060</v>
      </c>
      <c r="J312" s="81">
        <f>J313+J316</f>
        <v>0</v>
      </c>
      <c r="K312" s="82">
        <f t="shared" si="40"/>
        <v>39060</v>
      </c>
    </row>
    <row r="313" spans="1:11" s="83" customFormat="1" ht="12.75" customHeight="1">
      <c r="A313" s="75" t="s">
        <v>248</v>
      </c>
      <c r="B313" s="76">
        <v>2</v>
      </c>
      <c r="C313" s="77"/>
      <c r="D313" s="78" t="s">
        <v>65</v>
      </c>
      <c r="E313" s="79" t="s">
        <v>189</v>
      </c>
      <c r="F313" s="79" t="s">
        <v>351</v>
      </c>
      <c r="G313" s="79" t="s">
        <v>214</v>
      </c>
      <c r="H313" s="80" t="s">
        <v>218</v>
      </c>
      <c r="I313" s="81">
        <f>I314+I315</f>
        <v>39060</v>
      </c>
      <c r="J313" s="81">
        <f>J314+J315</f>
        <v>0</v>
      </c>
      <c r="K313" s="82">
        <f t="shared" si="40"/>
        <v>39060</v>
      </c>
    </row>
    <row r="314" spans="1:11" s="83" customFormat="1" ht="12.75" customHeight="1">
      <c r="A314" s="75" t="s">
        <v>249</v>
      </c>
      <c r="B314" s="76">
        <v>2</v>
      </c>
      <c r="C314" s="77"/>
      <c r="D314" s="78" t="s">
        <v>65</v>
      </c>
      <c r="E314" s="79" t="s">
        <v>189</v>
      </c>
      <c r="F314" s="79" t="s">
        <v>351</v>
      </c>
      <c r="G314" s="79" t="s">
        <v>214</v>
      </c>
      <c r="H314" s="80" t="s">
        <v>219</v>
      </c>
      <c r="I314" s="81">
        <f>30000</f>
        <v>30000</v>
      </c>
      <c r="J314" s="84">
        <v>0</v>
      </c>
      <c r="K314" s="82">
        <f t="shared" si="40"/>
        <v>30000</v>
      </c>
    </row>
    <row r="315" spans="1:11" s="83" customFormat="1" ht="12.75" customHeight="1">
      <c r="A315" s="75" t="s">
        <v>250</v>
      </c>
      <c r="B315" s="76">
        <v>2</v>
      </c>
      <c r="C315" s="77"/>
      <c r="D315" s="78" t="s">
        <v>65</v>
      </c>
      <c r="E315" s="79" t="s">
        <v>189</v>
      </c>
      <c r="F315" s="79" t="s">
        <v>351</v>
      </c>
      <c r="G315" s="79" t="s">
        <v>214</v>
      </c>
      <c r="H315" s="80" t="s">
        <v>220</v>
      </c>
      <c r="I315" s="81">
        <f>9060</f>
        <v>9060</v>
      </c>
      <c r="J315" s="84">
        <v>0</v>
      </c>
      <c r="K315" s="82">
        <f t="shared" si="40"/>
        <v>9060</v>
      </c>
    </row>
    <row r="316" spans="1:11" s="83" customFormat="1" ht="12.75" customHeight="1" hidden="1">
      <c r="A316" s="75" t="s">
        <v>256</v>
      </c>
      <c r="B316" s="76">
        <v>2</v>
      </c>
      <c r="C316" s="77"/>
      <c r="D316" s="78" t="s">
        <v>65</v>
      </c>
      <c r="E316" s="79" t="s">
        <v>189</v>
      </c>
      <c r="F316" s="79" t="s">
        <v>351</v>
      </c>
      <c r="G316" s="79" t="s">
        <v>214</v>
      </c>
      <c r="H316" s="80" t="s">
        <v>226</v>
      </c>
      <c r="I316" s="81">
        <v>0</v>
      </c>
      <c r="J316" s="84">
        <v>0</v>
      </c>
      <c r="K316" s="82">
        <f t="shared" si="40"/>
        <v>0</v>
      </c>
    </row>
    <row r="317" spans="1:11" s="83" customFormat="1" ht="12.75" customHeight="1">
      <c r="A317" s="75" t="s">
        <v>257</v>
      </c>
      <c r="B317" s="76">
        <v>2</v>
      </c>
      <c r="C317" s="77"/>
      <c r="D317" s="78" t="s">
        <v>65</v>
      </c>
      <c r="E317" s="79" t="s">
        <v>189</v>
      </c>
      <c r="F317" s="79" t="s">
        <v>351</v>
      </c>
      <c r="G317" s="79" t="s">
        <v>214</v>
      </c>
      <c r="H317" s="80" t="s">
        <v>227</v>
      </c>
      <c r="I317" s="81">
        <f>I318+I319</f>
        <v>34223.520000000004</v>
      </c>
      <c r="J317" s="81">
        <f>J318+J319</f>
        <v>0</v>
      </c>
      <c r="K317" s="82">
        <f t="shared" si="40"/>
        <v>34223.520000000004</v>
      </c>
    </row>
    <row r="318" spans="1:11" s="83" customFormat="1" ht="12.75" customHeight="1">
      <c r="A318" s="75" t="s">
        <v>258</v>
      </c>
      <c r="B318" s="76">
        <v>2</v>
      </c>
      <c r="C318" s="77"/>
      <c r="D318" s="78" t="s">
        <v>65</v>
      </c>
      <c r="E318" s="79" t="s">
        <v>189</v>
      </c>
      <c r="F318" s="79" t="s">
        <v>351</v>
      </c>
      <c r="G318" s="79" t="s">
        <v>214</v>
      </c>
      <c r="H318" s="80" t="s">
        <v>228</v>
      </c>
      <c r="I318" s="81">
        <f>25000</f>
        <v>25000</v>
      </c>
      <c r="J318" s="84">
        <v>0</v>
      </c>
      <c r="K318" s="82">
        <f t="shared" si="40"/>
        <v>25000</v>
      </c>
    </row>
    <row r="319" spans="1:11" s="83" customFormat="1" ht="12.75" customHeight="1">
      <c r="A319" s="75" t="s">
        <v>259</v>
      </c>
      <c r="B319" s="76">
        <v>2</v>
      </c>
      <c r="C319" s="77"/>
      <c r="D319" s="78" t="s">
        <v>65</v>
      </c>
      <c r="E319" s="79" t="s">
        <v>189</v>
      </c>
      <c r="F319" s="79" t="s">
        <v>351</v>
      </c>
      <c r="G319" s="79" t="s">
        <v>214</v>
      </c>
      <c r="H319" s="80" t="s">
        <v>229</v>
      </c>
      <c r="I319" s="81">
        <f>9223.52</f>
        <v>9223.52</v>
      </c>
      <c r="J319" s="84">
        <v>0</v>
      </c>
      <c r="K319" s="82">
        <f>IF(ISNUMBER(I319),I319,0)-IF(ISNUMBER(J319),J319,0)</f>
        <v>9223.52</v>
      </c>
    </row>
    <row r="320" spans="1:11" s="83" customFormat="1" ht="33.75" customHeight="1">
      <c r="A320" s="75" t="s">
        <v>370</v>
      </c>
      <c r="B320" s="76">
        <v>2</v>
      </c>
      <c r="C320" s="77"/>
      <c r="D320" s="78" t="s">
        <v>65</v>
      </c>
      <c r="E320" s="79" t="s">
        <v>189</v>
      </c>
      <c r="F320" s="79" t="s">
        <v>352</v>
      </c>
      <c r="G320" s="79" t="s">
        <v>178</v>
      </c>
      <c r="H320" s="80" t="s">
        <v>178</v>
      </c>
      <c r="I320" s="81">
        <f>I321</f>
        <v>1108174</v>
      </c>
      <c r="J320" s="81">
        <f>J321</f>
        <v>157956.94</v>
      </c>
      <c r="K320" s="82">
        <f t="shared" si="40"/>
        <v>950217.06</v>
      </c>
    </row>
    <row r="321" spans="1:11" s="83" customFormat="1" ht="12.75" customHeight="1">
      <c r="A321" s="75" t="s">
        <v>368</v>
      </c>
      <c r="B321" s="76">
        <v>2</v>
      </c>
      <c r="C321" s="77"/>
      <c r="D321" s="78" t="s">
        <v>65</v>
      </c>
      <c r="E321" s="79" t="s">
        <v>189</v>
      </c>
      <c r="F321" s="79" t="s">
        <v>352</v>
      </c>
      <c r="G321" s="79" t="s">
        <v>214</v>
      </c>
      <c r="H321" s="80" t="s">
        <v>178</v>
      </c>
      <c r="I321" s="81">
        <f>I322+I329</f>
        <v>1108174</v>
      </c>
      <c r="J321" s="81">
        <f>J322+J329</f>
        <v>157956.94</v>
      </c>
      <c r="K321" s="82">
        <f t="shared" si="40"/>
        <v>950217.06</v>
      </c>
    </row>
    <row r="322" spans="1:11" s="83" customFormat="1" ht="12.75" customHeight="1">
      <c r="A322" s="75" t="s">
        <v>243</v>
      </c>
      <c r="B322" s="76">
        <v>2</v>
      </c>
      <c r="C322" s="77"/>
      <c r="D322" s="78" t="s">
        <v>65</v>
      </c>
      <c r="E322" s="79" t="s">
        <v>189</v>
      </c>
      <c r="F322" s="79" t="s">
        <v>352</v>
      </c>
      <c r="G322" s="79" t="s">
        <v>214</v>
      </c>
      <c r="H322" s="80" t="s">
        <v>18</v>
      </c>
      <c r="I322" s="81">
        <f>I323+I326</f>
        <v>1083174</v>
      </c>
      <c r="J322" s="81">
        <f>J323+J326</f>
        <v>157956.94</v>
      </c>
      <c r="K322" s="82">
        <f t="shared" si="40"/>
        <v>925217.06</v>
      </c>
    </row>
    <row r="323" spans="1:11" s="83" customFormat="1" ht="12.75" customHeight="1">
      <c r="A323" s="75" t="s">
        <v>248</v>
      </c>
      <c r="B323" s="76">
        <v>2</v>
      </c>
      <c r="C323" s="77"/>
      <c r="D323" s="78" t="s">
        <v>65</v>
      </c>
      <c r="E323" s="79" t="s">
        <v>189</v>
      </c>
      <c r="F323" s="79" t="s">
        <v>352</v>
      </c>
      <c r="G323" s="79" t="s">
        <v>214</v>
      </c>
      <c r="H323" s="80" t="s">
        <v>218</v>
      </c>
      <c r="I323" s="81">
        <f>I324+I325</f>
        <v>863174</v>
      </c>
      <c r="J323" s="81">
        <f>J324+J325</f>
        <v>157956.94</v>
      </c>
      <c r="K323" s="82">
        <f t="shared" si="40"/>
        <v>705217.06</v>
      </c>
    </row>
    <row r="324" spans="1:11" s="83" customFormat="1" ht="12.75" customHeight="1">
      <c r="A324" s="75" t="s">
        <v>249</v>
      </c>
      <c r="B324" s="76">
        <v>2</v>
      </c>
      <c r="C324" s="77"/>
      <c r="D324" s="78" t="s">
        <v>65</v>
      </c>
      <c r="E324" s="79" t="s">
        <v>189</v>
      </c>
      <c r="F324" s="79" t="s">
        <v>352</v>
      </c>
      <c r="G324" s="79" t="s">
        <v>214</v>
      </c>
      <c r="H324" s="80" t="s">
        <v>219</v>
      </c>
      <c r="I324" s="81">
        <f>662960</f>
        <v>662960</v>
      </c>
      <c r="J324" s="84">
        <v>102261.95</v>
      </c>
      <c r="K324" s="82">
        <f t="shared" si="40"/>
        <v>560698.05</v>
      </c>
    </row>
    <row r="325" spans="1:11" s="83" customFormat="1" ht="12.75" customHeight="1">
      <c r="A325" s="75" t="s">
        <v>250</v>
      </c>
      <c r="B325" s="76">
        <v>2</v>
      </c>
      <c r="C325" s="77"/>
      <c r="D325" s="78" t="s">
        <v>65</v>
      </c>
      <c r="E325" s="79" t="s">
        <v>189</v>
      </c>
      <c r="F325" s="79" t="s">
        <v>352</v>
      </c>
      <c r="G325" s="79" t="s">
        <v>214</v>
      </c>
      <c r="H325" s="80" t="s">
        <v>220</v>
      </c>
      <c r="I325" s="81">
        <f>200214</f>
        <v>200214</v>
      </c>
      <c r="J325" s="84">
        <v>55694.99</v>
      </c>
      <c r="K325" s="82">
        <f t="shared" si="40"/>
        <v>144519.01</v>
      </c>
    </row>
    <row r="326" spans="1:11" s="83" customFormat="1" ht="12.75" customHeight="1">
      <c r="A326" s="75" t="s">
        <v>244</v>
      </c>
      <c r="B326" s="76">
        <v>2</v>
      </c>
      <c r="C326" s="77"/>
      <c r="D326" s="78" t="s">
        <v>65</v>
      </c>
      <c r="E326" s="79" t="s">
        <v>189</v>
      </c>
      <c r="F326" s="79" t="s">
        <v>352</v>
      </c>
      <c r="G326" s="79" t="s">
        <v>214</v>
      </c>
      <c r="H326" s="80" t="s">
        <v>216</v>
      </c>
      <c r="I326" s="81">
        <f>I327+I328</f>
        <v>220000</v>
      </c>
      <c r="J326" s="81">
        <f>J327+J328</f>
        <v>0</v>
      </c>
      <c r="K326" s="82">
        <f t="shared" si="40"/>
        <v>220000</v>
      </c>
    </row>
    <row r="327" spans="1:11" s="83" customFormat="1" ht="12.75" customHeight="1">
      <c r="A327" s="75" t="s">
        <v>255</v>
      </c>
      <c r="B327" s="76">
        <v>2</v>
      </c>
      <c r="C327" s="77"/>
      <c r="D327" s="78" t="s">
        <v>65</v>
      </c>
      <c r="E327" s="79" t="s">
        <v>189</v>
      </c>
      <c r="F327" s="79" t="s">
        <v>352</v>
      </c>
      <c r="G327" s="79" t="s">
        <v>214</v>
      </c>
      <c r="H327" s="80" t="s">
        <v>225</v>
      </c>
      <c r="I327" s="81">
        <f>70000</f>
        <v>70000</v>
      </c>
      <c r="J327" s="84">
        <v>0</v>
      </c>
      <c r="K327" s="82">
        <f>IF(ISNUMBER(I327),I327,0)-IF(ISNUMBER(J327),J327,0)</f>
        <v>70000</v>
      </c>
    </row>
    <row r="328" spans="1:11" s="83" customFormat="1" ht="12.75" customHeight="1">
      <c r="A328" s="75" t="s">
        <v>245</v>
      </c>
      <c r="B328" s="76">
        <v>2</v>
      </c>
      <c r="C328" s="77"/>
      <c r="D328" s="78" t="s">
        <v>65</v>
      </c>
      <c r="E328" s="79" t="s">
        <v>189</v>
      </c>
      <c r="F328" s="79" t="s">
        <v>352</v>
      </c>
      <c r="G328" s="79" t="s">
        <v>214</v>
      </c>
      <c r="H328" s="80" t="s">
        <v>217</v>
      </c>
      <c r="I328" s="81">
        <f>150000</f>
        <v>150000</v>
      </c>
      <c r="J328" s="84">
        <v>0</v>
      </c>
      <c r="K328" s="82">
        <f t="shared" si="40"/>
        <v>150000</v>
      </c>
    </row>
    <row r="329" spans="1:11" s="83" customFormat="1" ht="12.75" customHeight="1">
      <c r="A329" s="75" t="s">
        <v>257</v>
      </c>
      <c r="B329" s="76">
        <v>2</v>
      </c>
      <c r="C329" s="77"/>
      <c r="D329" s="78" t="s">
        <v>65</v>
      </c>
      <c r="E329" s="79" t="s">
        <v>189</v>
      </c>
      <c r="F329" s="79" t="s">
        <v>471</v>
      </c>
      <c r="G329" s="79" t="s">
        <v>214</v>
      </c>
      <c r="H329" s="80" t="s">
        <v>227</v>
      </c>
      <c r="I329" s="81">
        <f>I330+I331</f>
        <v>25000</v>
      </c>
      <c r="J329" s="81">
        <f>J330+J331</f>
        <v>0</v>
      </c>
      <c r="K329" s="82">
        <f>IF(ISNUMBER(I329),I329,0)-IF(ISNUMBER(J329),J329,0)</f>
        <v>25000</v>
      </c>
    </row>
    <row r="330" spans="1:11" s="83" customFormat="1" ht="12.75" customHeight="1">
      <c r="A330" s="75" t="s">
        <v>258</v>
      </c>
      <c r="B330" s="76">
        <v>2</v>
      </c>
      <c r="C330" s="77"/>
      <c r="D330" s="78" t="s">
        <v>65</v>
      </c>
      <c r="E330" s="79" t="s">
        <v>189</v>
      </c>
      <c r="F330" s="79" t="s">
        <v>471</v>
      </c>
      <c r="G330" s="79" t="s">
        <v>214</v>
      </c>
      <c r="H330" s="80" t="s">
        <v>228</v>
      </c>
      <c r="I330" s="81">
        <f>25000</f>
        <v>25000</v>
      </c>
      <c r="J330" s="84">
        <v>0</v>
      </c>
      <c r="K330" s="82">
        <f>IF(ISNUMBER(I330),I330,0)-IF(ISNUMBER(J330),J330,0)</f>
        <v>25000</v>
      </c>
    </row>
    <row r="331" spans="1:11" s="83" customFormat="1" ht="12.75" customHeight="1" hidden="1">
      <c r="A331" s="75" t="s">
        <v>259</v>
      </c>
      <c r="B331" s="76">
        <v>2</v>
      </c>
      <c r="C331" s="77"/>
      <c r="D331" s="78" t="s">
        <v>65</v>
      </c>
      <c r="E331" s="79" t="s">
        <v>189</v>
      </c>
      <c r="F331" s="79" t="s">
        <v>471</v>
      </c>
      <c r="G331" s="79" t="s">
        <v>214</v>
      </c>
      <c r="H331" s="80" t="s">
        <v>229</v>
      </c>
      <c r="I331" s="81">
        <v>0</v>
      </c>
      <c r="J331" s="84">
        <v>0</v>
      </c>
      <c r="K331" s="82">
        <f>IF(ISNUMBER(I331),I331,0)-IF(ISNUMBER(J331),J331,0)</f>
        <v>0</v>
      </c>
    </row>
    <row r="332" spans="1:11" s="83" customFormat="1" ht="12.75" customHeight="1">
      <c r="A332" s="75" t="s">
        <v>294</v>
      </c>
      <c r="B332" s="76">
        <v>2</v>
      </c>
      <c r="C332" s="77"/>
      <c r="D332" s="78" t="s">
        <v>65</v>
      </c>
      <c r="E332" s="79" t="s">
        <v>190</v>
      </c>
      <c r="F332" s="79" t="s">
        <v>178</v>
      </c>
      <c r="G332" s="79" t="s">
        <v>178</v>
      </c>
      <c r="H332" s="80" t="s">
        <v>178</v>
      </c>
      <c r="I332" s="81">
        <f>I333+I338+I346+I355</f>
        <v>1013000</v>
      </c>
      <c r="J332" s="81">
        <f>J333+J338+J346+J355</f>
        <v>291895</v>
      </c>
      <c r="K332" s="82">
        <f t="shared" si="40"/>
        <v>721105</v>
      </c>
    </row>
    <row r="333" spans="1:11" s="83" customFormat="1" ht="33" customHeight="1">
      <c r="A333" s="75" t="s">
        <v>371</v>
      </c>
      <c r="B333" s="76">
        <v>2</v>
      </c>
      <c r="C333" s="77"/>
      <c r="D333" s="78" t="s">
        <v>65</v>
      </c>
      <c r="E333" s="79" t="s">
        <v>190</v>
      </c>
      <c r="F333" s="79" t="s">
        <v>211</v>
      </c>
      <c r="G333" s="79" t="s">
        <v>178</v>
      </c>
      <c r="H333" s="80" t="s">
        <v>178</v>
      </c>
      <c r="I333" s="81">
        <f aca="true" t="shared" si="41" ref="I333:J336">I334</f>
        <v>120000</v>
      </c>
      <c r="J333" s="81">
        <f t="shared" si="41"/>
        <v>120000</v>
      </c>
      <c r="K333" s="82">
        <f t="shared" si="40"/>
        <v>0</v>
      </c>
    </row>
    <row r="334" spans="1:11" s="83" customFormat="1" ht="12" customHeight="1">
      <c r="A334" s="75" t="s">
        <v>289</v>
      </c>
      <c r="B334" s="76">
        <v>2</v>
      </c>
      <c r="C334" s="77"/>
      <c r="D334" s="78" t="s">
        <v>65</v>
      </c>
      <c r="E334" s="79" t="s">
        <v>190</v>
      </c>
      <c r="F334" s="79" t="s">
        <v>211</v>
      </c>
      <c r="G334" s="79" t="s">
        <v>353</v>
      </c>
      <c r="H334" s="80" t="s">
        <v>178</v>
      </c>
      <c r="I334" s="81">
        <f t="shared" si="41"/>
        <v>120000</v>
      </c>
      <c r="J334" s="81">
        <f t="shared" si="41"/>
        <v>120000</v>
      </c>
      <c r="K334" s="82">
        <f t="shared" si="40"/>
        <v>0</v>
      </c>
    </row>
    <row r="335" spans="1:11" s="83" customFormat="1" ht="12.75">
      <c r="A335" s="75" t="s">
        <v>243</v>
      </c>
      <c r="B335" s="76">
        <v>2</v>
      </c>
      <c r="C335" s="77"/>
      <c r="D335" s="78" t="s">
        <v>65</v>
      </c>
      <c r="E335" s="79" t="s">
        <v>190</v>
      </c>
      <c r="F335" s="79" t="s">
        <v>211</v>
      </c>
      <c r="G335" s="79" t="s">
        <v>353</v>
      </c>
      <c r="H335" s="80" t="s">
        <v>18</v>
      </c>
      <c r="I335" s="81">
        <f t="shared" si="41"/>
        <v>120000</v>
      </c>
      <c r="J335" s="81">
        <f t="shared" si="41"/>
        <v>120000</v>
      </c>
      <c r="K335" s="82">
        <f t="shared" si="40"/>
        <v>0</v>
      </c>
    </row>
    <row r="336" spans="1:11" s="83" customFormat="1" ht="23.25" customHeight="1">
      <c r="A336" s="75" t="s">
        <v>290</v>
      </c>
      <c r="B336" s="76">
        <v>2</v>
      </c>
      <c r="C336" s="77"/>
      <c r="D336" s="78" t="s">
        <v>65</v>
      </c>
      <c r="E336" s="79" t="s">
        <v>190</v>
      </c>
      <c r="F336" s="79" t="s">
        <v>211</v>
      </c>
      <c r="G336" s="79" t="s">
        <v>353</v>
      </c>
      <c r="H336" s="80" t="s">
        <v>235</v>
      </c>
      <c r="I336" s="81">
        <f t="shared" si="41"/>
        <v>120000</v>
      </c>
      <c r="J336" s="81">
        <f t="shared" si="41"/>
        <v>120000</v>
      </c>
      <c r="K336" s="82">
        <f t="shared" si="40"/>
        <v>0</v>
      </c>
    </row>
    <row r="337" spans="1:11" s="83" customFormat="1" ht="23.25" customHeight="1">
      <c r="A337" s="75" t="s">
        <v>291</v>
      </c>
      <c r="B337" s="76">
        <v>2</v>
      </c>
      <c r="C337" s="77"/>
      <c r="D337" s="78" t="s">
        <v>65</v>
      </c>
      <c r="E337" s="79" t="s">
        <v>190</v>
      </c>
      <c r="F337" s="79" t="s">
        <v>211</v>
      </c>
      <c r="G337" s="79" t="s">
        <v>353</v>
      </c>
      <c r="H337" s="80" t="s">
        <v>236</v>
      </c>
      <c r="I337" s="81">
        <v>120000</v>
      </c>
      <c r="J337" s="84">
        <f>120000</f>
        <v>120000</v>
      </c>
      <c r="K337" s="82">
        <f t="shared" si="40"/>
        <v>0</v>
      </c>
    </row>
    <row r="338" spans="1:11" s="83" customFormat="1" ht="32.25" customHeight="1">
      <c r="A338" s="75" t="s">
        <v>372</v>
      </c>
      <c r="B338" s="76">
        <v>2</v>
      </c>
      <c r="C338" s="77"/>
      <c r="D338" s="78" t="s">
        <v>65</v>
      </c>
      <c r="E338" s="79" t="s">
        <v>190</v>
      </c>
      <c r="F338" s="79" t="s">
        <v>354</v>
      </c>
      <c r="G338" s="79" t="s">
        <v>178</v>
      </c>
      <c r="H338" s="80" t="s">
        <v>178</v>
      </c>
      <c r="I338" s="81">
        <f>I339</f>
        <v>743000</v>
      </c>
      <c r="J338" s="81">
        <f>J339</f>
        <v>170895</v>
      </c>
      <c r="K338" s="82">
        <f aca="true" t="shared" si="42" ref="K338:K344">IF(ISNUMBER(I338),I338,0)-IF(ISNUMBER(J338),J338,0)</f>
        <v>572105</v>
      </c>
    </row>
    <row r="339" spans="1:11" s="83" customFormat="1" ht="12.75">
      <c r="A339" s="75" t="s">
        <v>295</v>
      </c>
      <c r="B339" s="76">
        <v>2</v>
      </c>
      <c r="C339" s="77"/>
      <c r="D339" s="78" t="s">
        <v>65</v>
      </c>
      <c r="E339" s="79" t="s">
        <v>190</v>
      </c>
      <c r="F339" s="79" t="s">
        <v>354</v>
      </c>
      <c r="G339" s="79" t="s">
        <v>355</v>
      </c>
      <c r="H339" s="80" t="s">
        <v>178</v>
      </c>
      <c r="I339" s="81">
        <f>I340</f>
        <v>743000</v>
      </c>
      <c r="J339" s="81">
        <f>J340</f>
        <v>170895</v>
      </c>
      <c r="K339" s="82">
        <f t="shared" si="42"/>
        <v>572105</v>
      </c>
    </row>
    <row r="340" spans="1:11" s="83" customFormat="1" ht="12.75">
      <c r="A340" s="75" t="s">
        <v>243</v>
      </c>
      <c r="B340" s="76">
        <v>2</v>
      </c>
      <c r="C340" s="77"/>
      <c r="D340" s="78" t="s">
        <v>65</v>
      </c>
      <c r="E340" s="79" t="s">
        <v>190</v>
      </c>
      <c r="F340" s="79" t="s">
        <v>354</v>
      </c>
      <c r="G340" s="79" t="s">
        <v>355</v>
      </c>
      <c r="H340" s="80" t="s">
        <v>18</v>
      </c>
      <c r="I340" s="81">
        <f>I343+I345+I341</f>
        <v>743000</v>
      </c>
      <c r="J340" s="81">
        <f>J343+J345+J341</f>
        <v>170895</v>
      </c>
      <c r="K340" s="82">
        <f t="shared" si="42"/>
        <v>572105</v>
      </c>
    </row>
    <row r="341" spans="1:11" s="83" customFormat="1" ht="12.75">
      <c r="A341" s="75" t="s">
        <v>244</v>
      </c>
      <c r="B341" s="76">
        <v>2</v>
      </c>
      <c r="C341" s="77"/>
      <c r="D341" s="78" t="s">
        <v>65</v>
      </c>
      <c r="E341" s="79" t="s">
        <v>190</v>
      </c>
      <c r="F341" s="79" t="s">
        <v>354</v>
      </c>
      <c r="G341" s="79" t="s">
        <v>355</v>
      </c>
      <c r="H341" s="80" t="s">
        <v>216</v>
      </c>
      <c r="I341" s="81">
        <f>I342</f>
        <v>260000</v>
      </c>
      <c r="J341" s="81">
        <f>J342</f>
        <v>0</v>
      </c>
      <c r="K341" s="82">
        <f t="shared" si="42"/>
        <v>260000</v>
      </c>
    </row>
    <row r="342" spans="1:11" s="83" customFormat="1" ht="12.75">
      <c r="A342" s="75" t="s">
        <v>245</v>
      </c>
      <c r="B342" s="76">
        <v>2</v>
      </c>
      <c r="C342" s="77"/>
      <c r="D342" s="78" t="s">
        <v>65</v>
      </c>
      <c r="E342" s="79" t="s">
        <v>190</v>
      </c>
      <c r="F342" s="79" t="s">
        <v>354</v>
      </c>
      <c r="G342" s="79" t="s">
        <v>355</v>
      </c>
      <c r="H342" s="80" t="s">
        <v>217</v>
      </c>
      <c r="I342" s="81">
        <v>260000</v>
      </c>
      <c r="J342" s="84">
        <v>0</v>
      </c>
      <c r="K342" s="82">
        <f t="shared" si="42"/>
        <v>260000</v>
      </c>
    </row>
    <row r="343" spans="1:11" s="83" customFormat="1" ht="12.75">
      <c r="A343" s="75" t="s">
        <v>265</v>
      </c>
      <c r="B343" s="76">
        <v>2</v>
      </c>
      <c r="C343" s="77"/>
      <c r="D343" s="78" t="s">
        <v>65</v>
      </c>
      <c r="E343" s="79" t="s">
        <v>190</v>
      </c>
      <c r="F343" s="79" t="s">
        <v>354</v>
      </c>
      <c r="G343" s="79" t="s">
        <v>355</v>
      </c>
      <c r="H343" s="80" t="s">
        <v>230</v>
      </c>
      <c r="I343" s="81">
        <f>I344</f>
        <v>93000</v>
      </c>
      <c r="J343" s="81">
        <f>J344</f>
        <v>76000</v>
      </c>
      <c r="K343" s="82">
        <f t="shared" si="42"/>
        <v>17000</v>
      </c>
    </row>
    <row r="344" spans="1:11" s="83" customFormat="1" ht="12.75" customHeight="1">
      <c r="A344" s="75" t="s">
        <v>266</v>
      </c>
      <c r="B344" s="76">
        <v>2</v>
      </c>
      <c r="C344" s="77"/>
      <c r="D344" s="78" t="s">
        <v>65</v>
      </c>
      <c r="E344" s="79" t="s">
        <v>190</v>
      </c>
      <c r="F344" s="79" t="s">
        <v>354</v>
      </c>
      <c r="G344" s="79" t="s">
        <v>355</v>
      </c>
      <c r="H344" s="80" t="s">
        <v>231</v>
      </c>
      <c r="I344" s="81">
        <f>93000</f>
        <v>93000</v>
      </c>
      <c r="J344" s="84">
        <v>76000</v>
      </c>
      <c r="K344" s="82">
        <f t="shared" si="42"/>
        <v>17000</v>
      </c>
    </row>
    <row r="345" spans="1:11" s="83" customFormat="1" ht="12.75">
      <c r="A345" s="75" t="s">
        <v>256</v>
      </c>
      <c r="B345" s="76">
        <v>2</v>
      </c>
      <c r="C345" s="77"/>
      <c r="D345" s="78" t="s">
        <v>65</v>
      </c>
      <c r="E345" s="79" t="s">
        <v>190</v>
      </c>
      <c r="F345" s="79" t="s">
        <v>354</v>
      </c>
      <c r="G345" s="79" t="s">
        <v>355</v>
      </c>
      <c r="H345" s="80" t="s">
        <v>226</v>
      </c>
      <c r="I345" s="81">
        <f>390000</f>
        <v>390000</v>
      </c>
      <c r="J345" s="84">
        <v>94895</v>
      </c>
      <c r="K345" s="82">
        <f aca="true" t="shared" si="43" ref="K345:K353">IF(ISNUMBER(I345),I345,0)-IF(ISNUMBER(J345),J345,0)</f>
        <v>295105</v>
      </c>
    </row>
    <row r="346" spans="1:11" s="83" customFormat="1" ht="21.75" customHeight="1">
      <c r="A346" s="75" t="s">
        <v>373</v>
      </c>
      <c r="B346" s="76">
        <v>2</v>
      </c>
      <c r="C346" s="77"/>
      <c r="D346" s="78" t="s">
        <v>65</v>
      </c>
      <c r="E346" s="79" t="s">
        <v>190</v>
      </c>
      <c r="F346" s="79" t="s">
        <v>356</v>
      </c>
      <c r="G346" s="79" t="s">
        <v>178</v>
      </c>
      <c r="H346" s="80" t="s">
        <v>178</v>
      </c>
      <c r="I346" s="81">
        <f>I347</f>
        <v>150000</v>
      </c>
      <c r="J346" s="81">
        <f>J347</f>
        <v>1000</v>
      </c>
      <c r="K346" s="82">
        <f t="shared" si="43"/>
        <v>149000</v>
      </c>
    </row>
    <row r="347" spans="1:11" s="83" customFormat="1" ht="12.75">
      <c r="A347" s="75" t="s">
        <v>295</v>
      </c>
      <c r="B347" s="76">
        <v>2</v>
      </c>
      <c r="C347" s="77"/>
      <c r="D347" s="78" t="s">
        <v>65</v>
      </c>
      <c r="E347" s="79" t="s">
        <v>190</v>
      </c>
      <c r="F347" s="79" t="s">
        <v>356</v>
      </c>
      <c r="G347" s="79" t="s">
        <v>355</v>
      </c>
      <c r="H347" s="80" t="s">
        <v>178</v>
      </c>
      <c r="I347" s="81">
        <f>I348</f>
        <v>150000</v>
      </c>
      <c r="J347" s="81">
        <f>J348</f>
        <v>1000</v>
      </c>
      <c r="K347" s="82">
        <f t="shared" si="43"/>
        <v>149000</v>
      </c>
    </row>
    <row r="348" spans="1:11" s="83" customFormat="1" ht="12.75">
      <c r="A348" s="75" t="s">
        <v>243</v>
      </c>
      <c r="B348" s="76">
        <v>2</v>
      </c>
      <c r="C348" s="77"/>
      <c r="D348" s="78" t="s">
        <v>65</v>
      </c>
      <c r="E348" s="79" t="s">
        <v>190</v>
      </c>
      <c r="F348" s="79" t="s">
        <v>356</v>
      </c>
      <c r="G348" s="79" t="s">
        <v>355</v>
      </c>
      <c r="H348" s="80" t="s">
        <v>18</v>
      </c>
      <c r="I348" s="81">
        <f>I352+I349+I354</f>
        <v>150000</v>
      </c>
      <c r="J348" s="81">
        <f>J352+J349+J354</f>
        <v>1000</v>
      </c>
      <c r="K348" s="82">
        <f t="shared" si="43"/>
        <v>149000</v>
      </c>
    </row>
    <row r="349" spans="1:11" s="83" customFormat="1" ht="12.75">
      <c r="A349" s="75" t="s">
        <v>244</v>
      </c>
      <c r="B349" s="76">
        <v>2</v>
      </c>
      <c r="C349" s="77"/>
      <c r="D349" s="78" t="s">
        <v>65</v>
      </c>
      <c r="E349" s="79" t="s">
        <v>190</v>
      </c>
      <c r="F349" s="79" t="s">
        <v>356</v>
      </c>
      <c r="G349" s="79" t="s">
        <v>355</v>
      </c>
      <c r="H349" s="80" t="s">
        <v>216</v>
      </c>
      <c r="I349" s="81">
        <f>I351+I350</f>
        <v>95000</v>
      </c>
      <c r="J349" s="81">
        <f>J351+J350</f>
        <v>0</v>
      </c>
      <c r="K349" s="82">
        <f t="shared" si="43"/>
        <v>95000</v>
      </c>
    </row>
    <row r="350" spans="1:11" s="83" customFormat="1" ht="12.75">
      <c r="A350" s="75" t="s">
        <v>255</v>
      </c>
      <c r="B350" s="76"/>
      <c r="C350" s="77"/>
      <c r="D350" s="78" t="s">
        <v>65</v>
      </c>
      <c r="E350" s="79" t="s">
        <v>190</v>
      </c>
      <c r="F350" s="79" t="s">
        <v>356</v>
      </c>
      <c r="G350" s="79" t="s">
        <v>355</v>
      </c>
      <c r="H350" s="80" t="s">
        <v>225</v>
      </c>
      <c r="I350" s="81">
        <f>60000</f>
        <v>60000</v>
      </c>
      <c r="J350" s="84">
        <v>0</v>
      </c>
      <c r="K350" s="82">
        <f>IF(ISNUMBER(I350),I350,0)-IF(ISNUMBER(J350),J350,0)</f>
        <v>60000</v>
      </c>
    </row>
    <row r="351" spans="1:11" s="83" customFormat="1" ht="12.75">
      <c r="A351" s="75" t="s">
        <v>245</v>
      </c>
      <c r="B351" s="76">
        <v>2</v>
      </c>
      <c r="C351" s="77"/>
      <c r="D351" s="78" t="s">
        <v>65</v>
      </c>
      <c r="E351" s="79" t="s">
        <v>190</v>
      </c>
      <c r="F351" s="79" t="s">
        <v>356</v>
      </c>
      <c r="G351" s="79" t="s">
        <v>355</v>
      </c>
      <c r="H351" s="80" t="s">
        <v>217</v>
      </c>
      <c r="I351" s="81">
        <f>35000</f>
        <v>35000</v>
      </c>
      <c r="J351" s="84">
        <v>0</v>
      </c>
      <c r="K351" s="82">
        <f t="shared" si="43"/>
        <v>35000</v>
      </c>
    </row>
    <row r="352" spans="1:11" s="83" customFormat="1" ht="12.75">
      <c r="A352" s="75" t="s">
        <v>265</v>
      </c>
      <c r="B352" s="76">
        <v>2</v>
      </c>
      <c r="C352" s="77"/>
      <c r="D352" s="78" t="s">
        <v>65</v>
      </c>
      <c r="E352" s="79" t="s">
        <v>190</v>
      </c>
      <c r="F352" s="79" t="s">
        <v>356</v>
      </c>
      <c r="G352" s="79" t="s">
        <v>355</v>
      </c>
      <c r="H352" s="80" t="s">
        <v>230</v>
      </c>
      <c r="I352" s="81">
        <f>I353</f>
        <v>20000</v>
      </c>
      <c r="J352" s="81">
        <f>J353</f>
        <v>0</v>
      </c>
      <c r="K352" s="82">
        <f t="shared" si="43"/>
        <v>20000</v>
      </c>
    </row>
    <row r="353" spans="1:11" s="83" customFormat="1" ht="11.25" customHeight="1">
      <c r="A353" s="75" t="s">
        <v>266</v>
      </c>
      <c r="B353" s="76">
        <v>2</v>
      </c>
      <c r="C353" s="77"/>
      <c r="D353" s="78" t="s">
        <v>65</v>
      </c>
      <c r="E353" s="79" t="s">
        <v>190</v>
      </c>
      <c r="F353" s="79" t="s">
        <v>356</v>
      </c>
      <c r="G353" s="79" t="s">
        <v>355</v>
      </c>
      <c r="H353" s="80" t="s">
        <v>231</v>
      </c>
      <c r="I353" s="81">
        <f>20000</f>
        <v>20000</v>
      </c>
      <c r="J353" s="84">
        <v>0</v>
      </c>
      <c r="K353" s="82">
        <f t="shared" si="43"/>
        <v>20000</v>
      </c>
    </row>
    <row r="354" spans="1:11" s="83" customFormat="1" ht="12.75">
      <c r="A354" s="75" t="s">
        <v>256</v>
      </c>
      <c r="B354" s="76">
        <v>2</v>
      </c>
      <c r="C354" s="77"/>
      <c r="D354" s="78" t="s">
        <v>65</v>
      </c>
      <c r="E354" s="79" t="s">
        <v>190</v>
      </c>
      <c r="F354" s="79" t="s">
        <v>356</v>
      </c>
      <c r="G354" s="79" t="s">
        <v>355</v>
      </c>
      <c r="H354" s="80" t="s">
        <v>226</v>
      </c>
      <c r="I354" s="81">
        <f>35000</f>
        <v>35000</v>
      </c>
      <c r="J354" s="84">
        <v>1000</v>
      </c>
      <c r="K354" s="82">
        <f>IF(ISNUMBER(I354),I354,0)-IF(ISNUMBER(J354),J354,0)</f>
        <v>34000</v>
      </c>
    </row>
    <row r="355" spans="1:11" s="83" customFormat="1" ht="12.75" hidden="1">
      <c r="A355" s="75"/>
      <c r="B355" s="76"/>
      <c r="C355" s="77"/>
      <c r="D355" s="78" t="s">
        <v>65</v>
      </c>
      <c r="E355" s="79" t="s">
        <v>190</v>
      </c>
      <c r="F355" s="79"/>
      <c r="G355" s="79"/>
      <c r="H355" s="80"/>
      <c r="I355" s="81">
        <f aca="true" t="shared" si="44" ref="I355:J358">I356</f>
        <v>0</v>
      </c>
      <c r="J355" s="81">
        <f t="shared" si="44"/>
        <v>0</v>
      </c>
      <c r="K355" s="82">
        <f t="shared" si="40"/>
        <v>0</v>
      </c>
    </row>
    <row r="356" spans="1:11" s="83" customFormat="1" ht="12.75" hidden="1">
      <c r="A356" s="75" t="s">
        <v>295</v>
      </c>
      <c r="B356" s="76"/>
      <c r="C356" s="77"/>
      <c r="D356" s="78" t="s">
        <v>65</v>
      </c>
      <c r="E356" s="79" t="s">
        <v>190</v>
      </c>
      <c r="F356" s="79"/>
      <c r="G356" s="79" t="s">
        <v>355</v>
      </c>
      <c r="H356" s="80"/>
      <c r="I356" s="81">
        <f t="shared" si="44"/>
        <v>0</v>
      </c>
      <c r="J356" s="81">
        <f t="shared" si="44"/>
        <v>0</v>
      </c>
      <c r="K356" s="82">
        <f t="shared" si="40"/>
        <v>0</v>
      </c>
    </row>
    <row r="357" spans="1:11" s="83" customFormat="1" ht="12.75" hidden="1">
      <c r="A357" s="75" t="s">
        <v>243</v>
      </c>
      <c r="B357" s="76"/>
      <c r="C357" s="77"/>
      <c r="D357" s="78" t="s">
        <v>65</v>
      </c>
      <c r="E357" s="79" t="s">
        <v>190</v>
      </c>
      <c r="F357" s="79"/>
      <c r="G357" s="79" t="s">
        <v>355</v>
      </c>
      <c r="H357" s="80" t="s">
        <v>18</v>
      </c>
      <c r="I357" s="81">
        <f t="shared" si="44"/>
        <v>0</v>
      </c>
      <c r="J357" s="81">
        <f t="shared" si="44"/>
        <v>0</v>
      </c>
      <c r="K357" s="82">
        <f t="shared" si="40"/>
        <v>0</v>
      </c>
    </row>
    <row r="358" spans="1:11" s="83" customFormat="1" ht="12.75" hidden="1">
      <c r="A358" s="75" t="s">
        <v>244</v>
      </c>
      <c r="B358" s="76"/>
      <c r="C358" s="77"/>
      <c r="D358" s="78" t="s">
        <v>65</v>
      </c>
      <c r="E358" s="79" t="s">
        <v>190</v>
      </c>
      <c r="F358" s="79"/>
      <c r="G358" s="79" t="s">
        <v>355</v>
      </c>
      <c r="H358" s="80" t="s">
        <v>216</v>
      </c>
      <c r="I358" s="81">
        <f t="shared" si="44"/>
        <v>0</v>
      </c>
      <c r="J358" s="81">
        <f t="shared" si="44"/>
        <v>0</v>
      </c>
      <c r="K358" s="82">
        <f t="shared" si="40"/>
        <v>0</v>
      </c>
    </row>
    <row r="359" spans="1:11" s="83" customFormat="1" ht="12.75" hidden="1">
      <c r="A359" s="75" t="s">
        <v>245</v>
      </c>
      <c r="B359" s="76"/>
      <c r="C359" s="77"/>
      <c r="D359" s="78" t="s">
        <v>65</v>
      </c>
      <c r="E359" s="79" t="s">
        <v>190</v>
      </c>
      <c r="F359" s="79"/>
      <c r="G359" s="79" t="s">
        <v>355</v>
      </c>
      <c r="H359" s="80" t="s">
        <v>217</v>
      </c>
      <c r="I359" s="81"/>
      <c r="J359" s="81"/>
      <c r="K359" s="82">
        <f t="shared" si="40"/>
        <v>0</v>
      </c>
    </row>
    <row r="360" spans="1:11" s="83" customFormat="1" ht="12.75">
      <c r="A360" s="75" t="s">
        <v>296</v>
      </c>
      <c r="B360" s="76">
        <v>2</v>
      </c>
      <c r="C360" s="77"/>
      <c r="D360" s="78" t="s">
        <v>65</v>
      </c>
      <c r="E360" s="79" t="s">
        <v>191</v>
      </c>
      <c r="F360" s="79" t="s">
        <v>178</v>
      </c>
      <c r="G360" s="79" t="s">
        <v>178</v>
      </c>
      <c r="H360" s="80" t="s">
        <v>178</v>
      </c>
      <c r="I360" s="81">
        <f>I361+I378+I386</f>
        <v>7159700</v>
      </c>
      <c r="J360" s="81">
        <f>J361+J378+J386</f>
        <v>1749461.34</v>
      </c>
      <c r="K360" s="82">
        <f t="shared" si="40"/>
        <v>5410238.66</v>
      </c>
    </row>
    <row r="361" spans="1:11" s="83" customFormat="1" ht="32.25" customHeight="1">
      <c r="A361" s="75" t="s">
        <v>374</v>
      </c>
      <c r="B361" s="76">
        <v>2</v>
      </c>
      <c r="C361" s="77"/>
      <c r="D361" s="78" t="s">
        <v>65</v>
      </c>
      <c r="E361" s="79" t="s">
        <v>191</v>
      </c>
      <c r="F361" s="79" t="s">
        <v>357</v>
      </c>
      <c r="G361" s="79" t="s">
        <v>178</v>
      </c>
      <c r="H361" s="80" t="s">
        <v>178</v>
      </c>
      <c r="I361" s="81">
        <f>I362</f>
        <v>5559700</v>
      </c>
      <c r="J361" s="81">
        <f>J362</f>
        <v>1679861.34</v>
      </c>
      <c r="K361" s="82">
        <f t="shared" si="40"/>
        <v>3879838.66</v>
      </c>
    </row>
    <row r="362" spans="1:11" s="83" customFormat="1" ht="12.75" customHeight="1">
      <c r="A362" s="75" t="s">
        <v>368</v>
      </c>
      <c r="B362" s="76">
        <v>2</v>
      </c>
      <c r="C362" s="77"/>
      <c r="D362" s="78" t="s">
        <v>65</v>
      </c>
      <c r="E362" s="79" t="s">
        <v>191</v>
      </c>
      <c r="F362" s="79" t="s">
        <v>357</v>
      </c>
      <c r="G362" s="79" t="s">
        <v>214</v>
      </c>
      <c r="H362" s="80" t="s">
        <v>178</v>
      </c>
      <c r="I362" s="81">
        <f>I363+I375</f>
        <v>5559700</v>
      </c>
      <c r="J362" s="81">
        <f>J363+J375</f>
        <v>1679861.34</v>
      </c>
      <c r="K362" s="82">
        <f t="shared" si="40"/>
        <v>3879838.66</v>
      </c>
    </row>
    <row r="363" spans="1:11" s="83" customFormat="1" ht="12.75" customHeight="1">
      <c r="A363" s="75" t="s">
        <v>243</v>
      </c>
      <c r="B363" s="76">
        <v>2</v>
      </c>
      <c r="C363" s="77"/>
      <c r="D363" s="78" t="s">
        <v>65</v>
      </c>
      <c r="E363" s="79" t="s">
        <v>191</v>
      </c>
      <c r="F363" s="79" t="s">
        <v>357</v>
      </c>
      <c r="G363" s="79" t="s">
        <v>214</v>
      </c>
      <c r="H363" s="80" t="s">
        <v>18</v>
      </c>
      <c r="I363" s="81">
        <f>I364+I367+I374</f>
        <v>5289700</v>
      </c>
      <c r="J363" s="81">
        <f>J364+J367+J374</f>
        <v>1572541.34</v>
      </c>
      <c r="K363" s="82">
        <f t="shared" si="40"/>
        <v>3717158.66</v>
      </c>
    </row>
    <row r="364" spans="1:11" s="83" customFormat="1" ht="12.75" customHeight="1">
      <c r="A364" s="75" t="s">
        <v>248</v>
      </c>
      <c r="B364" s="76">
        <v>2</v>
      </c>
      <c r="C364" s="77"/>
      <c r="D364" s="78" t="s">
        <v>65</v>
      </c>
      <c r="E364" s="79" t="s">
        <v>191</v>
      </c>
      <c r="F364" s="79" t="s">
        <v>357</v>
      </c>
      <c r="G364" s="79" t="s">
        <v>214</v>
      </c>
      <c r="H364" s="80" t="s">
        <v>218</v>
      </c>
      <c r="I364" s="81">
        <f>I365+I366</f>
        <v>4029700</v>
      </c>
      <c r="J364" s="81">
        <f>J365+J366</f>
        <v>986112.6100000001</v>
      </c>
      <c r="K364" s="82">
        <f t="shared" si="40"/>
        <v>3043587.3899999997</v>
      </c>
    </row>
    <row r="365" spans="1:11" s="83" customFormat="1" ht="12.75" customHeight="1">
      <c r="A365" s="75" t="s">
        <v>249</v>
      </c>
      <c r="B365" s="76">
        <v>2</v>
      </c>
      <c r="C365" s="77"/>
      <c r="D365" s="78" t="s">
        <v>65</v>
      </c>
      <c r="E365" s="79" t="s">
        <v>191</v>
      </c>
      <c r="F365" s="79" t="s">
        <v>357</v>
      </c>
      <c r="G365" s="79" t="s">
        <v>214</v>
      </c>
      <c r="H365" s="80" t="s">
        <v>219</v>
      </c>
      <c r="I365" s="81">
        <f>3100000</f>
        <v>3100000</v>
      </c>
      <c r="J365" s="84">
        <v>817566.17</v>
      </c>
      <c r="K365" s="82">
        <f t="shared" si="40"/>
        <v>2282433.83</v>
      </c>
    </row>
    <row r="366" spans="1:11" s="83" customFormat="1" ht="12.75" customHeight="1">
      <c r="A366" s="75" t="s">
        <v>250</v>
      </c>
      <c r="B366" s="76">
        <v>2</v>
      </c>
      <c r="C366" s="77"/>
      <c r="D366" s="78" t="s">
        <v>65</v>
      </c>
      <c r="E366" s="79" t="s">
        <v>191</v>
      </c>
      <c r="F366" s="79" t="s">
        <v>357</v>
      </c>
      <c r="G366" s="79" t="s">
        <v>214</v>
      </c>
      <c r="H366" s="80" t="s">
        <v>220</v>
      </c>
      <c r="I366" s="81">
        <f>929700</f>
        <v>929700</v>
      </c>
      <c r="J366" s="84">
        <v>168546.44</v>
      </c>
      <c r="K366" s="82">
        <f t="shared" si="40"/>
        <v>761153.56</v>
      </c>
    </row>
    <row r="367" spans="1:11" s="83" customFormat="1" ht="12.75" customHeight="1">
      <c r="A367" s="75" t="s">
        <v>244</v>
      </c>
      <c r="B367" s="76">
        <v>2</v>
      </c>
      <c r="C367" s="77"/>
      <c r="D367" s="78" t="s">
        <v>65</v>
      </c>
      <c r="E367" s="79" t="s">
        <v>191</v>
      </c>
      <c r="F367" s="79" t="s">
        <v>357</v>
      </c>
      <c r="G367" s="79" t="s">
        <v>214</v>
      </c>
      <c r="H367" s="80" t="s">
        <v>216</v>
      </c>
      <c r="I367" s="81">
        <f>I369+I370+I371+I372+I373+I368</f>
        <v>1010000</v>
      </c>
      <c r="J367" s="81">
        <f>J369+J370+J371+J372+J373+J368</f>
        <v>546584.3</v>
      </c>
      <c r="K367" s="82">
        <f t="shared" si="40"/>
        <v>463415.69999999995</v>
      </c>
    </row>
    <row r="368" spans="1:11" s="83" customFormat="1" ht="12.75" customHeight="1">
      <c r="A368" s="75" t="s">
        <v>251</v>
      </c>
      <c r="B368" s="76">
        <v>2</v>
      </c>
      <c r="C368" s="77"/>
      <c r="D368" s="78" t="s">
        <v>65</v>
      </c>
      <c r="E368" s="79" t="s">
        <v>191</v>
      </c>
      <c r="F368" s="79" t="s">
        <v>357</v>
      </c>
      <c r="G368" s="79" t="s">
        <v>214</v>
      </c>
      <c r="H368" s="80" t="s">
        <v>221</v>
      </c>
      <c r="I368" s="81">
        <f>10000</f>
        <v>10000</v>
      </c>
      <c r="J368" s="84">
        <v>5064.36</v>
      </c>
      <c r="K368" s="82">
        <f t="shared" si="40"/>
        <v>4935.64</v>
      </c>
    </row>
    <row r="369" spans="1:11" s="83" customFormat="1" ht="12.75" customHeight="1">
      <c r="A369" s="75" t="s">
        <v>252</v>
      </c>
      <c r="B369" s="76">
        <v>2</v>
      </c>
      <c r="C369" s="77"/>
      <c r="D369" s="78" t="s">
        <v>65</v>
      </c>
      <c r="E369" s="79" t="s">
        <v>191</v>
      </c>
      <c r="F369" s="79" t="s">
        <v>357</v>
      </c>
      <c r="G369" s="79" t="s">
        <v>214</v>
      </c>
      <c r="H369" s="80" t="s">
        <v>222</v>
      </c>
      <c r="I369" s="81">
        <f>150000</f>
        <v>150000</v>
      </c>
      <c r="J369" s="84">
        <v>11000</v>
      </c>
      <c r="K369" s="82">
        <f t="shared" si="40"/>
        <v>139000</v>
      </c>
    </row>
    <row r="370" spans="1:11" s="83" customFormat="1" ht="12.75" customHeight="1">
      <c r="A370" s="75" t="s">
        <v>253</v>
      </c>
      <c r="B370" s="76">
        <v>2</v>
      </c>
      <c r="C370" s="77"/>
      <c r="D370" s="78" t="s">
        <v>65</v>
      </c>
      <c r="E370" s="79" t="s">
        <v>191</v>
      </c>
      <c r="F370" s="79" t="s">
        <v>357</v>
      </c>
      <c r="G370" s="79" t="s">
        <v>214</v>
      </c>
      <c r="H370" s="80" t="s">
        <v>223</v>
      </c>
      <c r="I370" s="81">
        <v>263683.54</v>
      </c>
      <c r="J370" s="84">
        <v>61491.38</v>
      </c>
      <c r="K370" s="82">
        <f t="shared" si="40"/>
        <v>202192.15999999997</v>
      </c>
    </row>
    <row r="371" spans="1:11" s="83" customFormat="1" ht="12.75" customHeight="1">
      <c r="A371" s="75" t="s">
        <v>254</v>
      </c>
      <c r="B371" s="76">
        <v>2</v>
      </c>
      <c r="C371" s="77"/>
      <c r="D371" s="78" t="s">
        <v>65</v>
      </c>
      <c r="E371" s="79" t="s">
        <v>191</v>
      </c>
      <c r="F371" s="79" t="s">
        <v>357</v>
      </c>
      <c r="G371" s="79" t="s">
        <v>214</v>
      </c>
      <c r="H371" s="80" t="s">
        <v>224</v>
      </c>
      <c r="I371" s="81">
        <f>150000</f>
        <v>150000</v>
      </c>
      <c r="J371" s="84">
        <v>104852</v>
      </c>
      <c r="K371" s="82">
        <f t="shared" si="40"/>
        <v>45148</v>
      </c>
    </row>
    <row r="372" spans="1:11" s="83" customFormat="1" ht="12.75" customHeight="1">
      <c r="A372" s="75" t="s">
        <v>255</v>
      </c>
      <c r="B372" s="76">
        <v>2</v>
      </c>
      <c r="C372" s="77"/>
      <c r="D372" s="78" t="s">
        <v>65</v>
      </c>
      <c r="E372" s="79" t="s">
        <v>191</v>
      </c>
      <c r="F372" s="79" t="s">
        <v>357</v>
      </c>
      <c r="G372" s="79" t="s">
        <v>214</v>
      </c>
      <c r="H372" s="80" t="s">
        <v>225</v>
      </c>
      <c r="I372" s="81">
        <f>100000</f>
        <v>100000</v>
      </c>
      <c r="J372" s="84">
        <v>27860.1</v>
      </c>
      <c r="K372" s="82">
        <f t="shared" si="40"/>
        <v>72139.9</v>
      </c>
    </row>
    <row r="373" spans="1:11" s="83" customFormat="1" ht="12.75" customHeight="1">
      <c r="A373" s="75" t="s">
        <v>245</v>
      </c>
      <c r="B373" s="76">
        <v>2</v>
      </c>
      <c r="C373" s="77"/>
      <c r="D373" s="78" t="s">
        <v>65</v>
      </c>
      <c r="E373" s="79" t="s">
        <v>191</v>
      </c>
      <c r="F373" s="79" t="s">
        <v>357</v>
      </c>
      <c r="G373" s="79" t="s">
        <v>214</v>
      </c>
      <c r="H373" s="80" t="s">
        <v>217</v>
      </c>
      <c r="I373" s="81">
        <v>336316.46</v>
      </c>
      <c r="J373" s="84">
        <v>336316.46</v>
      </c>
      <c r="K373" s="82">
        <f aca="true" t="shared" si="45" ref="K373:K409">IF(ISNUMBER(I373),I373,0)-IF(ISNUMBER(J373),J373,0)</f>
        <v>0</v>
      </c>
    </row>
    <row r="374" spans="1:11" s="83" customFormat="1" ht="12.75" customHeight="1">
      <c r="A374" s="75" t="s">
        <v>256</v>
      </c>
      <c r="B374" s="76">
        <v>2</v>
      </c>
      <c r="C374" s="77"/>
      <c r="D374" s="78" t="s">
        <v>65</v>
      </c>
      <c r="E374" s="79" t="s">
        <v>191</v>
      </c>
      <c r="F374" s="79" t="s">
        <v>357</v>
      </c>
      <c r="G374" s="79" t="s">
        <v>214</v>
      </c>
      <c r="H374" s="80" t="s">
        <v>226</v>
      </c>
      <c r="I374" s="81">
        <f>250000</f>
        <v>250000</v>
      </c>
      <c r="J374" s="84">
        <v>39844.43</v>
      </c>
      <c r="K374" s="82">
        <f t="shared" si="45"/>
        <v>210155.57</v>
      </c>
    </row>
    <row r="375" spans="1:11" s="83" customFormat="1" ht="12.75" customHeight="1">
      <c r="A375" s="75" t="s">
        <v>257</v>
      </c>
      <c r="B375" s="76">
        <v>2</v>
      </c>
      <c r="C375" s="77"/>
      <c r="D375" s="78" t="s">
        <v>65</v>
      </c>
      <c r="E375" s="79" t="s">
        <v>191</v>
      </c>
      <c r="F375" s="79" t="s">
        <v>357</v>
      </c>
      <c r="G375" s="79" t="s">
        <v>214</v>
      </c>
      <c r="H375" s="80" t="s">
        <v>227</v>
      </c>
      <c r="I375" s="81">
        <f>I376+I377</f>
        <v>270000</v>
      </c>
      <c r="J375" s="81">
        <f>J376+J377</f>
        <v>107320</v>
      </c>
      <c r="K375" s="82">
        <f t="shared" si="45"/>
        <v>162680</v>
      </c>
    </row>
    <row r="376" spans="1:11" s="83" customFormat="1" ht="12.75" customHeight="1">
      <c r="A376" s="75" t="s">
        <v>258</v>
      </c>
      <c r="B376" s="76">
        <v>2</v>
      </c>
      <c r="C376" s="77"/>
      <c r="D376" s="78" t="s">
        <v>65</v>
      </c>
      <c r="E376" s="79" t="s">
        <v>191</v>
      </c>
      <c r="F376" s="79" t="s">
        <v>357</v>
      </c>
      <c r="G376" s="79" t="s">
        <v>214</v>
      </c>
      <c r="H376" s="80" t="s">
        <v>228</v>
      </c>
      <c r="I376" s="81">
        <f>150000</f>
        <v>150000</v>
      </c>
      <c r="J376" s="84">
        <v>28344</v>
      </c>
      <c r="K376" s="82">
        <f t="shared" si="45"/>
        <v>121656</v>
      </c>
    </row>
    <row r="377" spans="1:11" s="83" customFormat="1" ht="12.75" customHeight="1">
      <c r="A377" s="75" t="s">
        <v>259</v>
      </c>
      <c r="B377" s="76">
        <v>2</v>
      </c>
      <c r="C377" s="77"/>
      <c r="D377" s="78" t="s">
        <v>65</v>
      </c>
      <c r="E377" s="79" t="s">
        <v>191</v>
      </c>
      <c r="F377" s="79" t="s">
        <v>357</v>
      </c>
      <c r="G377" s="79" t="s">
        <v>214</v>
      </c>
      <c r="H377" s="80" t="s">
        <v>229</v>
      </c>
      <c r="I377" s="81">
        <f>120000</f>
        <v>120000</v>
      </c>
      <c r="J377" s="84">
        <v>78976</v>
      </c>
      <c r="K377" s="82">
        <f t="shared" si="45"/>
        <v>41024</v>
      </c>
    </row>
    <row r="378" spans="1:11" s="83" customFormat="1" ht="12.75" customHeight="1">
      <c r="A378" s="75" t="s">
        <v>375</v>
      </c>
      <c r="B378" s="76">
        <v>2</v>
      </c>
      <c r="C378" s="77"/>
      <c r="D378" s="78" t="s">
        <v>65</v>
      </c>
      <c r="E378" s="79" t="s">
        <v>191</v>
      </c>
      <c r="F378" s="79" t="s">
        <v>358</v>
      </c>
      <c r="G378" s="79" t="s">
        <v>178</v>
      </c>
      <c r="H378" s="80" t="s">
        <v>178</v>
      </c>
      <c r="I378" s="81">
        <f>I379</f>
        <v>1600000</v>
      </c>
      <c r="J378" s="81">
        <f>J379</f>
        <v>69600</v>
      </c>
      <c r="K378" s="82">
        <f t="shared" si="45"/>
        <v>1530400</v>
      </c>
    </row>
    <row r="379" spans="1:11" s="83" customFormat="1" ht="12.75" customHeight="1">
      <c r="A379" s="75" t="s">
        <v>378</v>
      </c>
      <c r="B379" s="76">
        <v>2</v>
      </c>
      <c r="C379" s="77"/>
      <c r="D379" s="78" t="s">
        <v>65</v>
      </c>
      <c r="E379" s="79" t="s">
        <v>191</v>
      </c>
      <c r="F379" s="79" t="s">
        <v>358</v>
      </c>
      <c r="G379" s="79" t="s">
        <v>359</v>
      </c>
      <c r="H379" s="80" t="s">
        <v>178</v>
      </c>
      <c r="I379" s="81">
        <f>I383+I380</f>
        <v>1600000</v>
      </c>
      <c r="J379" s="81">
        <f>J383+J380</f>
        <v>69600</v>
      </c>
      <c r="K379" s="82">
        <f t="shared" si="45"/>
        <v>1530400</v>
      </c>
    </row>
    <row r="380" spans="1:11" s="83" customFormat="1" ht="12.75" customHeight="1" hidden="1">
      <c r="A380" s="75" t="s">
        <v>243</v>
      </c>
      <c r="B380" s="76">
        <v>2</v>
      </c>
      <c r="C380" s="77"/>
      <c r="D380" s="78" t="s">
        <v>65</v>
      </c>
      <c r="E380" s="79" t="s">
        <v>191</v>
      </c>
      <c r="F380" s="79" t="s">
        <v>358</v>
      </c>
      <c r="G380" s="79" t="s">
        <v>359</v>
      </c>
      <c r="H380" s="80" t="s">
        <v>18</v>
      </c>
      <c r="I380" s="81">
        <f>I381</f>
        <v>0</v>
      </c>
      <c r="J380" s="81">
        <f>J381</f>
        <v>0</v>
      </c>
      <c r="K380" s="82">
        <f t="shared" si="45"/>
        <v>0</v>
      </c>
    </row>
    <row r="381" spans="1:11" s="83" customFormat="1" ht="12.75" customHeight="1" hidden="1">
      <c r="A381" s="75" t="s">
        <v>244</v>
      </c>
      <c r="B381" s="76">
        <v>2</v>
      </c>
      <c r="C381" s="77"/>
      <c r="D381" s="78" t="s">
        <v>65</v>
      </c>
      <c r="E381" s="79" t="s">
        <v>191</v>
      </c>
      <c r="F381" s="79" t="s">
        <v>358</v>
      </c>
      <c r="G381" s="79" t="s">
        <v>359</v>
      </c>
      <c r="H381" s="80" t="s">
        <v>216</v>
      </c>
      <c r="I381" s="81">
        <f>I382</f>
        <v>0</v>
      </c>
      <c r="J381" s="81">
        <f>J382</f>
        <v>0</v>
      </c>
      <c r="K381" s="82">
        <f t="shared" si="45"/>
        <v>0</v>
      </c>
    </row>
    <row r="382" spans="1:11" s="83" customFormat="1" ht="12.75" customHeight="1" hidden="1">
      <c r="A382" s="75" t="s">
        <v>255</v>
      </c>
      <c r="B382" s="76">
        <v>2</v>
      </c>
      <c r="C382" s="77"/>
      <c r="D382" s="78" t="s">
        <v>65</v>
      </c>
      <c r="E382" s="79" t="s">
        <v>191</v>
      </c>
      <c r="F382" s="79" t="s">
        <v>358</v>
      </c>
      <c r="G382" s="79" t="s">
        <v>359</v>
      </c>
      <c r="H382" s="80" t="s">
        <v>225</v>
      </c>
      <c r="I382" s="81">
        <f>0</f>
        <v>0</v>
      </c>
      <c r="J382" s="84">
        <v>0</v>
      </c>
      <c r="K382" s="82">
        <f t="shared" si="45"/>
        <v>0</v>
      </c>
    </row>
    <row r="383" spans="1:11" s="83" customFormat="1" ht="12.75" customHeight="1">
      <c r="A383" s="75" t="s">
        <v>257</v>
      </c>
      <c r="B383" s="76">
        <v>2</v>
      </c>
      <c r="C383" s="77"/>
      <c r="D383" s="78" t="s">
        <v>65</v>
      </c>
      <c r="E383" s="79" t="s">
        <v>191</v>
      </c>
      <c r="F383" s="79" t="s">
        <v>358</v>
      </c>
      <c r="G383" s="79" t="s">
        <v>359</v>
      </c>
      <c r="H383" s="80" t="s">
        <v>227</v>
      </c>
      <c r="I383" s="81">
        <f>I384+I385</f>
        <v>1600000</v>
      </c>
      <c r="J383" s="81">
        <f>J384+J385</f>
        <v>69600</v>
      </c>
      <c r="K383" s="82">
        <f t="shared" si="45"/>
        <v>1530400</v>
      </c>
    </row>
    <row r="384" spans="1:11" s="83" customFormat="1" ht="12.75" customHeight="1">
      <c r="A384" s="75" t="s">
        <v>258</v>
      </c>
      <c r="B384" s="76">
        <v>2</v>
      </c>
      <c r="C384" s="77"/>
      <c r="D384" s="78" t="s">
        <v>65</v>
      </c>
      <c r="E384" s="79" t="s">
        <v>191</v>
      </c>
      <c r="F384" s="79" t="s">
        <v>358</v>
      </c>
      <c r="G384" s="79" t="s">
        <v>359</v>
      </c>
      <c r="H384" s="80" t="s">
        <v>228</v>
      </c>
      <c r="I384" s="81">
        <f>1600000</f>
        <v>1600000</v>
      </c>
      <c r="J384" s="84">
        <v>69600</v>
      </c>
      <c r="K384" s="82">
        <f t="shared" si="45"/>
        <v>1530400</v>
      </c>
    </row>
    <row r="385" spans="1:11" s="83" customFormat="1" ht="12.75" customHeight="1" hidden="1">
      <c r="A385" s="75" t="s">
        <v>259</v>
      </c>
      <c r="B385" s="76">
        <v>2</v>
      </c>
      <c r="C385" s="77"/>
      <c r="D385" s="78" t="s">
        <v>65</v>
      </c>
      <c r="E385" s="79" t="s">
        <v>191</v>
      </c>
      <c r="F385" s="79" t="s">
        <v>358</v>
      </c>
      <c r="G385" s="79" t="s">
        <v>359</v>
      </c>
      <c r="H385" s="80" t="s">
        <v>229</v>
      </c>
      <c r="I385" s="81">
        <f>0</f>
        <v>0</v>
      </c>
      <c r="J385" s="84">
        <v>0</v>
      </c>
      <c r="K385" s="82">
        <f>IF(ISNUMBER(I385),I385,0)-IF(ISNUMBER(J385),J385,0)</f>
        <v>0</v>
      </c>
    </row>
    <row r="386" spans="1:11" s="83" customFormat="1" ht="24" customHeight="1" hidden="1">
      <c r="A386" s="75" t="s">
        <v>398</v>
      </c>
      <c r="B386" s="76">
        <v>2</v>
      </c>
      <c r="C386" s="77"/>
      <c r="D386" s="78" t="s">
        <v>65</v>
      </c>
      <c r="E386" s="79" t="s">
        <v>191</v>
      </c>
      <c r="F386" s="79" t="s">
        <v>397</v>
      </c>
      <c r="G386" s="79" t="s">
        <v>178</v>
      </c>
      <c r="H386" s="80" t="s">
        <v>178</v>
      </c>
      <c r="I386" s="81">
        <f>I387</f>
        <v>0</v>
      </c>
      <c r="J386" s="81">
        <f>J387</f>
        <v>0</v>
      </c>
      <c r="K386" s="82">
        <f aca="true" t="shared" si="46" ref="K386:K393">IF(ISNUMBER(I386),I386,0)-IF(ISNUMBER(J386),J386,0)</f>
        <v>0</v>
      </c>
    </row>
    <row r="387" spans="1:11" s="83" customFormat="1" ht="12.75" customHeight="1" hidden="1">
      <c r="A387" s="75" t="s">
        <v>368</v>
      </c>
      <c r="B387" s="76">
        <v>2</v>
      </c>
      <c r="C387" s="77"/>
      <c r="D387" s="78" t="s">
        <v>65</v>
      </c>
      <c r="E387" s="79" t="s">
        <v>191</v>
      </c>
      <c r="F387" s="79" t="s">
        <v>397</v>
      </c>
      <c r="G387" s="79" t="s">
        <v>214</v>
      </c>
      <c r="H387" s="80" t="s">
        <v>178</v>
      </c>
      <c r="I387" s="81">
        <f>I388+I391+I392</f>
        <v>0</v>
      </c>
      <c r="J387" s="81">
        <f>J388+J391+J392</f>
        <v>0</v>
      </c>
      <c r="K387" s="82">
        <f t="shared" si="46"/>
        <v>0</v>
      </c>
    </row>
    <row r="388" spans="1:11" s="83" customFormat="1" ht="12.75" customHeight="1" hidden="1">
      <c r="A388" s="75" t="s">
        <v>244</v>
      </c>
      <c r="B388" s="76">
        <v>2</v>
      </c>
      <c r="C388" s="77"/>
      <c r="D388" s="78" t="s">
        <v>65</v>
      </c>
      <c r="E388" s="79" t="s">
        <v>191</v>
      </c>
      <c r="F388" s="79" t="s">
        <v>397</v>
      </c>
      <c r="G388" s="79" t="s">
        <v>214</v>
      </c>
      <c r="H388" s="80" t="s">
        <v>216</v>
      </c>
      <c r="I388" s="81">
        <f>I389+I390</f>
        <v>0</v>
      </c>
      <c r="J388" s="81">
        <f>J389+J390</f>
        <v>0</v>
      </c>
      <c r="K388" s="82">
        <f t="shared" si="46"/>
        <v>0</v>
      </c>
    </row>
    <row r="389" spans="1:11" s="83" customFormat="1" ht="12.75" customHeight="1" hidden="1">
      <c r="A389" s="75" t="s">
        <v>252</v>
      </c>
      <c r="B389" s="76">
        <v>2</v>
      </c>
      <c r="C389" s="77"/>
      <c r="D389" s="78" t="s">
        <v>65</v>
      </c>
      <c r="E389" s="79" t="s">
        <v>191</v>
      </c>
      <c r="F389" s="79" t="s">
        <v>397</v>
      </c>
      <c r="G389" s="79" t="s">
        <v>214</v>
      </c>
      <c r="H389" s="80" t="s">
        <v>222</v>
      </c>
      <c r="I389" s="81">
        <f>0</f>
        <v>0</v>
      </c>
      <c r="J389" s="84">
        <v>0</v>
      </c>
      <c r="K389" s="82">
        <f t="shared" si="46"/>
        <v>0</v>
      </c>
    </row>
    <row r="390" spans="1:11" s="83" customFormat="1" ht="12.75" customHeight="1" hidden="1">
      <c r="A390" s="75" t="s">
        <v>245</v>
      </c>
      <c r="B390" s="76">
        <v>2</v>
      </c>
      <c r="C390" s="77"/>
      <c r="D390" s="78" t="s">
        <v>65</v>
      </c>
      <c r="E390" s="79" t="s">
        <v>191</v>
      </c>
      <c r="F390" s="79" t="s">
        <v>397</v>
      </c>
      <c r="G390" s="79" t="s">
        <v>214</v>
      </c>
      <c r="H390" s="80" t="s">
        <v>217</v>
      </c>
      <c r="I390" s="81">
        <f>0</f>
        <v>0</v>
      </c>
      <c r="J390" s="84">
        <v>0</v>
      </c>
      <c r="K390" s="82">
        <f t="shared" si="46"/>
        <v>0</v>
      </c>
    </row>
    <row r="391" spans="1:11" s="83" customFormat="1" ht="12.75" customHeight="1" hidden="1">
      <c r="A391" s="75" t="s">
        <v>256</v>
      </c>
      <c r="B391" s="76">
        <v>2</v>
      </c>
      <c r="C391" s="77"/>
      <c r="D391" s="78" t="s">
        <v>65</v>
      </c>
      <c r="E391" s="79" t="s">
        <v>191</v>
      </c>
      <c r="F391" s="79" t="s">
        <v>397</v>
      </c>
      <c r="G391" s="79" t="s">
        <v>214</v>
      </c>
      <c r="H391" s="80" t="s">
        <v>226</v>
      </c>
      <c r="I391" s="81">
        <f>0</f>
        <v>0</v>
      </c>
      <c r="J391" s="84">
        <v>0</v>
      </c>
      <c r="K391" s="82">
        <f t="shared" si="46"/>
        <v>0</v>
      </c>
    </row>
    <row r="392" spans="1:11" s="83" customFormat="1" ht="12.75" customHeight="1" hidden="1">
      <c r="A392" s="75" t="s">
        <v>257</v>
      </c>
      <c r="B392" s="76">
        <v>2</v>
      </c>
      <c r="C392" s="77"/>
      <c r="D392" s="78" t="s">
        <v>65</v>
      </c>
      <c r="E392" s="79" t="s">
        <v>191</v>
      </c>
      <c r="F392" s="79" t="s">
        <v>397</v>
      </c>
      <c r="G392" s="79" t="s">
        <v>214</v>
      </c>
      <c r="H392" s="80" t="s">
        <v>227</v>
      </c>
      <c r="I392" s="81">
        <f>I393+I394</f>
        <v>0</v>
      </c>
      <c r="J392" s="81">
        <f>J393+J394</f>
        <v>0</v>
      </c>
      <c r="K392" s="82">
        <f t="shared" si="46"/>
        <v>0</v>
      </c>
    </row>
    <row r="393" spans="1:11" s="83" customFormat="1" ht="12.75" customHeight="1" hidden="1">
      <c r="A393" s="75" t="s">
        <v>258</v>
      </c>
      <c r="B393" s="76">
        <v>2</v>
      </c>
      <c r="C393" s="77"/>
      <c r="D393" s="78" t="s">
        <v>65</v>
      </c>
      <c r="E393" s="79" t="s">
        <v>191</v>
      </c>
      <c r="F393" s="79" t="s">
        <v>397</v>
      </c>
      <c r="G393" s="79" t="s">
        <v>214</v>
      </c>
      <c r="H393" s="80" t="s">
        <v>228</v>
      </c>
      <c r="I393" s="81">
        <v>0</v>
      </c>
      <c r="J393" s="84">
        <v>0</v>
      </c>
      <c r="K393" s="82">
        <f t="shared" si="46"/>
        <v>0</v>
      </c>
    </row>
    <row r="394" spans="1:11" s="83" customFormat="1" ht="12.75" customHeight="1" hidden="1">
      <c r="A394" s="75" t="s">
        <v>259</v>
      </c>
      <c r="B394" s="76">
        <v>2</v>
      </c>
      <c r="C394" s="77"/>
      <c r="D394" s="78" t="s">
        <v>65</v>
      </c>
      <c r="E394" s="79" t="s">
        <v>191</v>
      </c>
      <c r="F394" s="79" t="s">
        <v>397</v>
      </c>
      <c r="G394" s="79" t="s">
        <v>214</v>
      </c>
      <c r="H394" s="80" t="s">
        <v>229</v>
      </c>
      <c r="I394" s="81">
        <v>0</v>
      </c>
      <c r="J394" s="84">
        <v>0</v>
      </c>
      <c r="K394" s="82">
        <f>IF(ISNUMBER(I394),I394,0)-IF(ISNUMBER(J394),J394,0)</f>
        <v>0</v>
      </c>
    </row>
    <row r="395" spans="1:11" s="83" customFormat="1" ht="12.75" customHeight="1">
      <c r="A395" s="75" t="s">
        <v>297</v>
      </c>
      <c r="B395" s="76"/>
      <c r="C395" s="77"/>
      <c r="D395" s="78" t="s">
        <v>65</v>
      </c>
      <c r="E395" s="79" t="s">
        <v>192</v>
      </c>
      <c r="F395" s="79"/>
      <c r="G395" s="79"/>
      <c r="H395" s="80"/>
      <c r="I395" s="81">
        <f>I396+I410</f>
        <v>2709765.39</v>
      </c>
      <c r="J395" s="81">
        <f>J396+J410</f>
        <v>528341.19</v>
      </c>
      <c r="K395" s="82">
        <f>IF(ISNUMBER(I395),I395,0)-IF(ISNUMBER(J395),J395,0)</f>
        <v>2181424.2</v>
      </c>
    </row>
    <row r="396" spans="1:11" s="83" customFormat="1" ht="33.75" customHeight="1">
      <c r="A396" s="75" t="s">
        <v>376</v>
      </c>
      <c r="B396" s="76">
        <v>2</v>
      </c>
      <c r="C396" s="77"/>
      <c r="D396" s="78" t="s">
        <v>65</v>
      </c>
      <c r="E396" s="79" t="s">
        <v>192</v>
      </c>
      <c r="F396" s="79" t="s">
        <v>360</v>
      </c>
      <c r="G396" s="79" t="s">
        <v>178</v>
      </c>
      <c r="H396" s="80" t="s">
        <v>178</v>
      </c>
      <c r="I396" s="81">
        <f>I397</f>
        <v>2637917</v>
      </c>
      <c r="J396" s="81">
        <f>J397</f>
        <v>528341.19</v>
      </c>
      <c r="K396" s="82">
        <f t="shared" si="45"/>
        <v>2109575.81</v>
      </c>
    </row>
    <row r="397" spans="1:11" s="83" customFormat="1" ht="12.75" customHeight="1">
      <c r="A397" s="75" t="s">
        <v>368</v>
      </c>
      <c r="B397" s="76">
        <v>2</v>
      </c>
      <c r="C397" s="77"/>
      <c r="D397" s="78" t="s">
        <v>65</v>
      </c>
      <c r="E397" s="79" t="s">
        <v>192</v>
      </c>
      <c r="F397" s="79" t="s">
        <v>360</v>
      </c>
      <c r="G397" s="79" t="s">
        <v>214</v>
      </c>
      <c r="H397" s="80" t="s">
        <v>178</v>
      </c>
      <c r="I397" s="81">
        <f>I398+I407</f>
        <v>2637917</v>
      </c>
      <c r="J397" s="81">
        <f>J398+J407</f>
        <v>528341.19</v>
      </c>
      <c r="K397" s="82">
        <f t="shared" si="45"/>
        <v>2109575.81</v>
      </c>
    </row>
    <row r="398" spans="1:11" s="83" customFormat="1" ht="12.75" customHeight="1">
      <c r="A398" s="75" t="s">
        <v>243</v>
      </c>
      <c r="B398" s="76">
        <v>2</v>
      </c>
      <c r="C398" s="77"/>
      <c r="D398" s="78" t="s">
        <v>65</v>
      </c>
      <c r="E398" s="79" t="s">
        <v>192</v>
      </c>
      <c r="F398" s="79" t="s">
        <v>360</v>
      </c>
      <c r="G398" s="79" t="s">
        <v>214</v>
      </c>
      <c r="H398" s="80" t="s">
        <v>18</v>
      </c>
      <c r="I398" s="81">
        <f>I399+I402+I406</f>
        <v>2632917</v>
      </c>
      <c r="J398" s="81">
        <f>J399+J402+J406</f>
        <v>528341.19</v>
      </c>
      <c r="K398" s="82">
        <f t="shared" si="45"/>
        <v>2104575.81</v>
      </c>
    </row>
    <row r="399" spans="1:11" s="83" customFormat="1" ht="12.75" customHeight="1">
      <c r="A399" s="75" t="s">
        <v>248</v>
      </c>
      <c r="B399" s="76">
        <v>2</v>
      </c>
      <c r="C399" s="77"/>
      <c r="D399" s="78" t="s">
        <v>65</v>
      </c>
      <c r="E399" s="79" t="s">
        <v>192</v>
      </c>
      <c r="F399" s="79" t="s">
        <v>360</v>
      </c>
      <c r="G399" s="79" t="s">
        <v>214</v>
      </c>
      <c r="H399" s="80" t="s">
        <v>218</v>
      </c>
      <c r="I399" s="81">
        <f>I400+I401</f>
        <v>2400917</v>
      </c>
      <c r="J399" s="81">
        <f>J400+J401</f>
        <v>485539.79</v>
      </c>
      <c r="K399" s="82">
        <f t="shared" si="45"/>
        <v>1915377.21</v>
      </c>
    </row>
    <row r="400" spans="1:11" s="83" customFormat="1" ht="12.75" customHeight="1">
      <c r="A400" s="75" t="s">
        <v>249</v>
      </c>
      <c r="B400" s="76">
        <v>2</v>
      </c>
      <c r="C400" s="77"/>
      <c r="D400" s="78" t="s">
        <v>65</v>
      </c>
      <c r="E400" s="79" t="s">
        <v>192</v>
      </c>
      <c r="F400" s="79" t="s">
        <v>360</v>
      </c>
      <c r="G400" s="79" t="s">
        <v>214</v>
      </c>
      <c r="H400" s="80" t="s">
        <v>219</v>
      </c>
      <c r="I400" s="81">
        <f>1844022</f>
        <v>1844022</v>
      </c>
      <c r="J400" s="84">
        <v>401718.49</v>
      </c>
      <c r="K400" s="82">
        <f t="shared" si="45"/>
        <v>1442303.51</v>
      </c>
    </row>
    <row r="401" spans="1:11" s="83" customFormat="1" ht="12.75" customHeight="1">
      <c r="A401" s="75" t="s">
        <v>250</v>
      </c>
      <c r="B401" s="76">
        <v>2</v>
      </c>
      <c r="C401" s="77"/>
      <c r="D401" s="78" t="s">
        <v>65</v>
      </c>
      <c r="E401" s="79" t="s">
        <v>192</v>
      </c>
      <c r="F401" s="79" t="s">
        <v>360</v>
      </c>
      <c r="G401" s="79" t="s">
        <v>214</v>
      </c>
      <c r="H401" s="80" t="s">
        <v>220</v>
      </c>
      <c r="I401" s="81">
        <f>556895</f>
        <v>556895</v>
      </c>
      <c r="J401" s="84">
        <v>83821.3</v>
      </c>
      <c r="K401" s="82">
        <f t="shared" si="45"/>
        <v>473073.7</v>
      </c>
    </row>
    <row r="402" spans="1:11" s="83" customFormat="1" ht="12.75" customHeight="1">
      <c r="A402" s="75" t="s">
        <v>244</v>
      </c>
      <c r="B402" s="76">
        <v>2</v>
      </c>
      <c r="C402" s="77"/>
      <c r="D402" s="78" t="s">
        <v>65</v>
      </c>
      <c r="E402" s="79" t="s">
        <v>192</v>
      </c>
      <c r="F402" s="79" t="s">
        <v>360</v>
      </c>
      <c r="G402" s="79" t="s">
        <v>214</v>
      </c>
      <c r="H402" s="80" t="s">
        <v>216</v>
      </c>
      <c r="I402" s="81">
        <f>I403+I404+I405</f>
        <v>229000</v>
      </c>
      <c r="J402" s="81">
        <f>J403+J404+J405</f>
        <v>42801.4</v>
      </c>
      <c r="K402" s="82">
        <f t="shared" si="45"/>
        <v>186198.6</v>
      </c>
    </row>
    <row r="403" spans="1:11" s="83" customFormat="1" ht="12.75" customHeight="1">
      <c r="A403" s="75" t="s">
        <v>251</v>
      </c>
      <c r="B403" s="76">
        <v>2</v>
      </c>
      <c r="C403" s="77"/>
      <c r="D403" s="78" t="s">
        <v>65</v>
      </c>
      <c r="E403" s="79" t="s">
        <v>192</v>
      </c>
      <c r="F403" s="79" t="s">
        <v>360</v>
      </c>
      <c r="G403" s="79" t="s">
        <v>214</v>
      </c>
      <c r="H403" s="80" t="s">
        <v>221</v>
      </c>
      <c r="I403" s="81">
        <f>27000</f>
        <v>27000</v>
      </c>
      <c r="J403" s="84">
        <v>4211.4</v>
      </c>
      <c r="K403" s="82">
        <f t="shared" si="45"/>
        <v>22788.6</v>
      </c>
    </row>
    <row r="404" spans="1:11" s="83" customFormat="1" ht="12.75" customHeight="1">
      <c r="A404" s="75" t="s">
        <v>255</v>
      </c>
      <c r="B404" s="76">
        <v>2</v>
      </c>
      <c r="C404" s="77"/>
      <c r="D404" s="78" t="s">
        <v>65</v>
      </c>
      <c r="E404" s="79" t="s">
        <v>192</v>
      </c>
      <c r="F404" s="79" t="s">
        <v>360</v>
      </c>
      <c r="G404" s="79" t="s">
        <v>214</v>
      </c>
      <c r="H404" s="80" t="s">
        <v>225</v>
      </c>
      <c r="I404" s="81">
        <f>2000</f>
        <v>2000</v>
      </c>
      <c r="J404" s="84">
        <v>0</v>
      </c>
      <c r="K404" s="82">
        <f t="shared" si="45"/>
        <v>2000</v>
      </c>
    </row>
    <row r="405" spans="1:11" s="83" customFormat="1" ht="12.75" customHeight="1">
      <c r="A405" s="75" t="s">
        <v>245</v>
      </c>
      <c r="B405" s="76">
        <v>2</v>
      </c>
      <c r="C405" s="77"/>
      <c r="D405" s="78" t="s">
        <v>65</v>
      </c>
      <c r="E405" s="79" t="s">
        <v>192</v>
      </c>
      <c r="F405" s="79" t="s">
        <v>360</v>
      </c>
      <c r="G405" s="79" t="s">
        <v>214</v>
      </c>
      <c r="H405" s="80" t="s">
        <v>217</v>
      </c>
      <c r="I405" s="81">
        <f>200000</f>
        <v>200000</v>
      </c>
      <c r="J405" s="84">
        <v>38590</v>
      </c>
      <c r="K405" s="82">
        <f t="shared" si="45"/>
        <v>161410</v>
      </c>
    </row>
    <row r="406" spans="1:11" s="83" customFormat="1" ht="12.75" customHeight="1">
      <c r="A406" s="75" t="s">
        <v>256</v>
      </c>
      <c r="B406" s="76">
        <v>2</v>
      </c>
      <c r="C406" s="77"/>
      <c r="D406" s="78" t="s">
        <v>65</v>
      </c>
      <c r="E406" s="79" t="s">
        <v>192</v>
      </c>
      <c r="F406" s="79" t="s">
        <v>360</v>
      </c>
      <c r="G406" s="79" t="s">
        <v>214</v>
      </c>
      <c r="H406" s="80" t="s">
        <v>226</v>
      </c>
      <c r="I406" s="81">
        <f>3000</f>
        <v>3000</v>
      </c>
      <c r="J406" s="84">
        <v>0</v>
      </c>
      <c r="K406" s="82">
        <f t="shared" si="45"/>
        <v>3000</v>
      </c>
    </row>
    <row r="407" spans="1:11" s="83" customFormat="1" ht="12.75" customHeight="1">
      <c r="A407" s="75" t="s">
        <v>257</v>
      </c>
      <c r="B407" s="76">
        <v>2</v>
      </c>
      <c r="C407" s="77"/>
      <c r="D407" s="78" t="s">
        <v>65</v>
      </c>
      <c r="E407" s="79" t="s">
        <v>192</v>
      </c>
      <c r="F407" s="79" t="s">
        <v>360</v>
      </c>
      <c r="G407" s="79" t="s">
        <v>214</v>
      </c>
      <c r="H407" s="80" t="s">
        <v>227</v>
      </c>
      <c r="I407" s="81">
        <f>I409</f>
        <v>5000</v>
      </c>
      <c r="J407" s="81">
        <f>J408+J409</f>
        <v>0</v>
      </c>
      <c r="K407" s="82">
        <f t="shared" si="45"/>
        <v>5000</v>
      </c>
    </row>
    <row r="408" spans="1:11" s="83" customFormat="1" ht="12.75" customHeight="1" hidden="1">
      <c r="A408" s="75" t="s">
        <v>258</v>
      </c>
      <c r="B408" s="76">
        <v>2</v>
      </c>
      <c r="C408" s="77"/>
      <c r="D408" s="78" t="s">
        <v>65</v>
      </c>
      <c r="E408" s="79" t="s">
        <v>192</v>
      </c>
      <c r="F408" s="79" t="s">
        <v>360</v>
      </c>
      <c r="G408" s="79" t="s">
        <v>214</v>
      </c>
      <c r="H408" s="80" t="s">
        <v>228</v>
      </c>
      <c r="I408" s="81"/>
      <c r="J408" s="84"/>
      <c r="K408" s="82">
        <f t="shared" si="45"/>
        <v>0</v>
      </c>
    </row>
    <row r="409" spans="1:11" s="83" customFormat="1" ht="12.75" customHeight="1">
      <c r="A409" s="75" t="s">
        <v>259</v>
      </c>
      <c r="B409" s="76">
        <v>2</v>
      </c>
      <c r="C409" s="77"/>
      <c r="D409" s="78" t="s">
        <v>65</v>
      </c>
      <c r="E409" s="79" t="s">
        <v>192</v>
      </c>
      <c r="F409" s="79" t="s">
        <v>360</v>
      </c>
      <c r="G409" s="79" t="s">
        <v>214</v>
      </c>
      <c r="H409" s="80" t="s">
        <v>229</v>
      </c>
      <c r="I409" s="81">
        <f>5000</f>
        <v>5000</v>
      </c>
      <c r="J409" s="84">
        <v>0</v>
      </c>
      <c r="K409" s="82">
        <f t="shared" si="45"/>
        <v>5000</v>
      </c>
    </row>
    <row r="410" spans="1:11" s="83" customFormat="1" ht="35.25" customHeight="1">
      <c r="A410" s="75" t="s">
        <v>377</v>
      </c>
      <c r="B410" s="76">
        <v>2</v>
      </c>
      <c r="C410" s="77"/>
      <c r="D410" s="78" t="s">
        <v>65</v>
      </c>
      <c r="E410" s="79" t="s">
        <v>192</v>
      </c>
      <c r="F410" s="79" t="s">
        <v>361</v>
      </c>
      <c r="G410" s="79" t="s">
        <v>178</v>
      </c>
      <c r="H410" s="80" t="s">
        <v>178</v>
      </c>
      <c r="I410" s="81">
        <f aca="true" t="shared" si="47" ref="I410:J412">I411</f>
        <v>71848.39</v>
      </c>
      <c r="J410" s="81">
        <f t="shared" si="47"/>
        <v>0</v>
      </c>
      <c r="K410" s="82">
        <f aca="true" t="shared" si="48" ref="K410:K431">IF(ISNUMBER(I410),I410,0)-IF(ISNUMBER(J410),J410,0)</f>
        <v>71848.39</v>
      </c>
    </row>
    <row r="411" spans="1:11" s="83" customFormat="1" ht="12.75" customHeight="1">
      <c r="A411" s="75" t="s">
        <v>368</v>
      </c>
      <c r="B411" s="76">
        <v>2</v>
      </c>
      <c r="C411" s="77"/>
      <c r="D411" s="78" t="s">
        <v>65</v>
      </c>
      <c r="E411" s="79" t="s">
        <v>192</v>
      </c>
      <c r="F411" s="79" t="s">
        <v>361</v>
      </c>
      <c r="G411" s="79" t="s">
        <v>214</v>
      </c>
      <c r="H411" s="80" t="s">
        <v>178</v>
      </c>
      <c r="I411" s="81">
        <f t="shared" si="47"/>
        <v>71848.39</v>
      </c>
      <c r="J411" s="81">
        <f t="shared" si="47"/>
        <v>0</v>
      </c>
      <c r="K411" s="82">
        <f t="shared" si="48"/>
        <v>71848.39</v>
      </c>
    </row>
    <row r="412" spans="1:11" s="83" customFormat="1" ht="12.75" customHeight="1">
      <c r="A412" s="75" t="s">
        <v>243</v>
      </c>
      <c r="B412" s="76">
        <v>2</v>
      </c>
      <c r="C412" s="77"/>
      <c r="D412" s="78" t="s">
        <v>65</v>
      </c>
      <c r="E412" s="79" t="s">
        <v>192</v>
      </c>
      <c r="F412" s="79" t="s">
        <v>361</v>
      </c>
      <c r="G412" s="79" t="s">
        <v>214</v>
      </c>
      <c r="H412" s="80" t="s">
        <v>18</v>
      </c>
      <c r="I412" s="81">
        <f t="shared" si="47"/>
        <v>71848.39</v>
      </c>
      <c r="J412" s="81">
        <f t="shared" si="47"/>
        <v>0</v>
      </c>
      <c r="K412" s="82">
        <f t="shared" si="48"/>
        <v>71848.39</v>
      </c>
    </row>
    <row r="413" spans="1:11" s="83" customFormat="1" ht="12.75" customHeight="1">
      <c r="A413" s="75" t="s">
        <v>248</v>
      </c>
      <c r="B413" s="76">
        <v>2</v>
      </c>
      <c r="C413" s="77"/>
      <c r="D413" s="78" t="s">
        <v>65</v>
      </c>
      <c r="E413" s="79" t="s">
        <v>192</v>
      </c>
      <c r="F413" s="79" t="s">
        <v>361</v>
      </c>
      <c r="G413" s="79" t="s">
        <v>214</v>
      </c>
      <c r="H413" s="80" t="s">
        <v>218</v>
      </c>
      <c r="I413" s="81">
        <f>I414+I415</f>
        <v>71848.39</v>
      </c>
      <c r="J413" s="81">
        <f>J414+J415</f>
        <v>0</v>
      </c>
      <c r="K413" s="82">
        <f t="shared" si="48"/>
        <v>71848.39</v>
      </c>
    </row>
    <row r="414" spans="1:11" s="83" customFormat="1" ht="12.75" customHeight="1">
      <c r="A414" s="75" t="s">
        <v>249</v>
      </c>
      <c r="B414" s="76">
        <v>2</v>
      </c>
      <c r="C414" s="77"/>
      <c r="D414" s="78" t="s">
        <v>65</v>
      </c>
      <c r="E414" s="79" t="s">
        <v>192</v>
      </c>
      <c r="F414" s="79" t="s">
        <v>361</v>
      </c>
      <c r="G414" s="79" t="s">
        <v>214</v>
      </c>
      <c r="H414" s="80" t="s">
        <v>219</v>
      </c>
      <c r="I414" s="81">
        <f>56748.39</f>
        <v>56748.39</v>
      </c>
      <c r="J414" s="84">
        <v>0</v>
      </c>
      <c r="K414" s="82">
        <f t="shared" si="48"/>
        <v>56748.39</v>
      </c>
    </row>
    <row r="415" spans="1:11" s="83" customFormat="1" ht="12.75" customHeight="1">
      <c r="A415" s="75" t="s">
        <v>250</v>
      </c>
      <c r="B415" s="76">
        <v>2</v>
      </c>
      <c r="C415" s="77"/>
      <c r="D415" s="78" t="s">
        <v>65</v>
      </c>
      <c r="E415" s="79" t="s">
        <v>192</v>
      </c>
      <c r="F415" s="79" t="s">
        <v>361</v>
      </c>
      <c r="G415" s="79" t="s">
        <v>214</v>
      </c>
      <c r="H415" s="80" t="s">
        <v>220</v>
      </c>
      <c r="I415" s="81">
        <f>15100</f>
        <v>15100</v>
      </c>
      <c r="J415" s="84">
        <v>0</v>
      </c>
      <c r="K415" s="82">
        <f t="shared" si="48"/>
        <v>15100</v>
      </c>
    </row>
    <row r="416" spans="1:11" s="83" customFormat="1" ht="45" hidden="1">
      <c r="A416" s="75" t="s">
        <v>261</v>
      </c>
      <c r="B416" s="76">
        <v>2</v>
      </c>
      <c r="C416" s="77"/>
      <c r="D416" s="78" t="s">
        <v>65</v>
      </c>
      <c r="E416" s="79" t="s">
        <v>192</v>
      </c>
      <c r="F416" s="79" t="s">
        <v>195</v>
      </c>
      <c r="G416" s="79" t="s">
        <v>178</v>
      </c>
      <c r="H416" s="80" t="s">
        <v>178</v>
      </c>
      <c r="I416" s="81"/>
      <c r="J416" s="84"/>
      <c r="K416" s="82">
        <f t="shared" si="48"/>
        <v>0</v>
      </c>
    </row>
    <row r="417" spans="1:11" s="83" customFormat="1" ht="12.75" hidden="1">
      <c r="A417" s="75" t="s">
        <v>293</v>
      </c>
      <c r="B417" s="76">
        <v>2</v>
      </c>
      <c r="C417" s="77"/>
      <c r="D417" s="78" t="s">
        <v>65</v>
      </c>
      <c r="E417" s="79" t="s">
        <v>192</v>
      </c>
      <c r="F417" s="79" t="s">
        <v>195</v>
      </c>
      <c r="G417" s="79" t="s">
        <v>215</v>
      </c>
      <c r="H417" s="80" t="s">
        <v>178</v>
      </c>
      <c r="I417" s="81"/>
      <c r="J417" s="84"/>
      <c r="K417" s="82">
        <f t="shared" si="48"/>
        <v>0</v>
      </c>
    </row>
    <row r="418" spans="1:11" s="83" customFormat="1" ht="12.75" hidden="1">
      <c r="A418" s="75" t="s">
        <v>243</v>
      </c>
      <c r="B418" s="76">
        <v>2</v>
      </c>
      <c r="C418" s="77"/>
      <c r="D418" s="78" t="s">
        <v>65</v>
      </c>
      <c r="E418" s="79" t="s">
        <v>192</v>
      </c>
      <c r="F418" s="79" t="s">
        <v>195</v>
      </c>
      <c r="G418" s="79" t="s">
        <v>215</v>
      </c>
      <c r="H418" s="80" t="s">
        <v>18</v>
      </c>
      <c r="I418" s="81"/>
      <c r="J418" s="84"/>
      <c r="K418" s="82">
        <f t="shared" si="48"/>
        <v>0</v>
      </c>
    </row>
    <row r="419" spans="1:11" s="83" customFormat="1" ht="12.75" hidden="1">
      <c r="A419" s="75" t="s">
        <v>248</v>
      </c>
      <c r="B419" s="76">
        <v>2</v>
      </c>
      <c r="C419" s="77"/>
      <c r="D419" s="78" t="s">
        <v>65</v>
      </c>
      <c r="E419" s="79" t="s">
        <v>192</v>
      </c>
      <c r="F419" s="79" t="s">
        <v>195</v>
      </c>
      <c r="G419" s="79" t="s">
        <v>215</v>
      </c>
      <c r="H419" s="80" t="s">
        <v>218</v>
      </c>
      <c r="I419" s="81"/>
      <c r="J419" s="84"/>
      <c r="K419" s="82">
        <f t="shared" si="48"/>
        <v>0</v>
      </c>
    </row>
    <row r="420" spans="1:11" s="83" customFormat="1" ht="12.75" hidden="1">
      <c r="A420" s="75" t="s">
        <v>249</v>
      </c>
      <c r="B420" s="76">
        <v>2</v>
      </c>
      <c r="C420" s="77"/>
      <c r="D420" s="78" t="s">
        <v>65</v>
      </c>
      <c r="E420" s="79" t="s">
        <v>192</v>
      </c>
      <c r="F420" s="79" t="s">
        <v>195</v>
      </c>
      <c r="G420" s="79" t="s">
        <v>215</v>
      </c>
      <c r="H420" s="80" t="s">
        <v>219</v>
      </c>
      <c r="I420" s="81"/>
      <c r="J420" s="84"/>
      <c r="K420" s="82">
        <f t="shared" si="48"/>
        <v>0</v>
      </c>
    </row>
    <row r="421" spans="1:11" s="83" customFormat="1" ht="12.75" hidden="1">
      <c r="A421" s="75" t="s">
        <v>250</v>
      </c>
      <c r="B421" s="76">
        <v>2</v>
      </c>
      <c r="C421" s="77"/>
      <c r="D421" s="78" t="s">
        <v>65</v>
      </c>
      <c r="E421" s="79" t="s">
        <v>192</v>
      </c>
      <c r="F421" s="79" t="s">
        <v>195</v>
      </c>
      <c r="G421" s="79" t="s">
        <v>215</v>
      </c>
      <c r="H421" s="80" t="s">
        <v>220</v>
      </c>
      <c r="I421" s="81"/>
      <c r="J421" s="84"/>
      <c r="K421" s="82">
        <f t="shared" si="48"/>
        <v>0</v>
      </c>
    </row>
    <row r="422" spans="1:11" s="83" customFormat="1" ht="12.75" hidden="1">
      <c r="A422" s="75" t="s">
        <v>244</v>
      </c>
      <c r="B422" s="76">
        <v>2</v>
      </c>
      <c r="C422" s="77"/>
      <c r="D422" s="78" t="s">
        <v>65</v>
      </c>
      <c r="E422" s="79" t="s">
        <v>192</v>
      </c>
      <c r="F422" s="79" t="s">
        <v>195</v>
      </c>
      <c r="G422" s="79" t="s">
        <v>215</v>
      </c>
      <c r="H422" s="80" t="s">
        <v>216</v>
      </c>
      <c r="I422" s="81"/>
      <c r="J422" s="84"/>
      <c r="K422" s="82">
        <f t="shared" si="48"/>
        <v>0</v>
      </c>
    </row>
    <row r="423" spans="1:11" s="83" customFormat="1" ht="12.75" hidden="1">
      <c r="A423" s="75" t="s">
        <v>245</v>
      </c>
      <c r="B423" s="76">
        <v>2</v>
      </c>
      <c r="C423" s="77"/>
      <c r="D423" s="78" t="s">
        <v>65</v>
      </c>
      <c r="E423" s="79" t="s">
        <v>192</v>
      </c>
      <c r="F423" s="79" t="s">
        <v>195</v>
      </c>
      <c r="G423" s="79" t="s">
        <v>215</v>
      </c>
      <c r="H423" s="80" t="s">
        <v>217</v>
      </c>
      <c r="I423" s="81"/>
      <c r="J423" s="84"/>
      <c r="K423" s="82">
        <f t="shared" si="48"/>
        <v>0</v>
      </c>
    </row>
    <row r="424" spans="1:11" s="83" customFormat="1" ht="22.5" hidden="1">
      <c r="A424" s="75" t="s">
        <v>298</v>
      </c>
      <c r="B424" s="76">
        <v>2</v>
      </c>
      <c r="C424" s="77"/>
      <c r="D424" s="78" t="s">
        <v>65</v>
      </c>
      <c r="E424" s="79" t="s">
        <v>193</v>
      </c>
      <c r="F424" s="79" t="s">
        <v>178</v>
      </c>
      <c r="G424" s="79" t="s">
        <v>178</v>
      </c>
      <c r="H424" s="80" t="s">
        <v>178</v>
      </c>
      <c r="I424" s="81"/>
      <c r="J424" s="84"/>
      <c r="K424" s="82">
        <f t="shared" si="48"/>
        <v>0</v>
      </c>
    </row>
    <row r="425" spans="1:11" s="83" customFormat="1" ht="12.75" hidden="1">
      <c r="A425" s="75" t="s">
        <v>299</v>
      </c>
      <c r="B425" s="76">
        <v>2</v>
      </c>
      <c r="C425" s="77"/>
      <c r="D425" s="78" t="s">
        <v>65</v>
      </c>
      <c r="E425" s="79" t="s">
        <v>193</v>
      </c>
      <c r="F425" s="79" t="s">
        <v>212</v>
      </c>
      <c r="G425" s="79" t="s">
        <v>178</v>
      </c>
      <c r="H425" s="80" t="s">
        <v>178</v>
      </c>
      <c r="I425" s="81"/>
      <c r="J425" s="84"/>
      <c r="K425" s="82">
        <f t="shared" si="48"/>
        <v>0</v>
      </c>
    </row>
    <row r="426" spans="1:11" s="83" customFormat="1" ht="12.75" hidden="1">
      <c r="A426" s="75" t="s">
        <v>256</v>
      </c>
      <c r="B426" s="76">
        <v>2</v>
      </c>
      <c r="C426" s="77"/>
      <c r="D426" s="78" t="s">
        <v>65</v>
      </c>
      <c r="E426" s="79" t="s">
        <v>193</v>
      </c>
      <c r="F426" s="79" t="s">
        <v>212</v>
      </c>
      <c r="G426" s="79" t="s">
        <v>213</v>
      </c>
      <c r="H426" s="80" t="s">
        <v>178</v>
      </c>
      <c r="I426" s="81"/>
      <c r="J426" s="84"/>
      <c r="K426" s="82">
        <f t="shared" si="48"/>
        <v>0</v>
      </c>
    </row>
    <row r="427" spans="1:11" s="83" customFormat="1" ht="12.75" hidden="1">
      <c r="A427" s="75" t="s">
        <v>243</v>
      </c>
      <c r="B427" s="76">
        <v>2</v>
      </c>
      <c r="C427" s="77"/>
      <c r="D427" s="78" t="s">
        <v>65</v>
      </c>
      <c r="E427" s="79" t="s">
        <v>193</v>
      </c>
      <c r="F427" s="79" t="s">
        <v>212</v>
      </c>
      <c r="G427" s="79" t="s">
        <v>213</v>
      </c>
      <c r="H427" s="80" t="s">
        <v>18</v>
      </c>
      <c r="I427" s="81"/>
      <c r="J427" s="84"/>
      <c r="K427" s="82">
        <f t="shared" si="48"/>
        <v>0</v>
      </c>
    </row>
    <row r="428" spans="1:11" s="83" customFormat="1" ht="12.75" hidden="1">
      <c r="A428" s="75" t="s">
        <v>300</v>
      </c>
      <c r="B428" s="76">
        <v>2</v>
      </c>
      <c r="C428" s="77"/>
      <c r="D428" s="78" t="s">
        <v>65</v>
      </c>
      <c r="E428" s="79" t="s">
        <v>193</v>
      </c>
      <c r="F428" s="79" t="s">
        <v>212</v>
      </c>
      <c r="G428" s="79" t="s">
        <v>213</v>
      </c>
      <c r="H428" s="80" t="s">
        <v>237</v>
      </c>
      <c r="I428" s="81"/>
      <c r="J428" s="84"/>
      <c r="K428" s="82">
        <f t="shared" si="48"/>
        <v>0</v>
      </c>
    </row>
    <row r="429" spans="1:11" s="83" customFormat="1" ht="22.5" hidden="1">
      <c r="A429" s="75" t="s">
        <v>301</v>
      </c>
      <c r="B429" s="76">
        <v>2</v>
      </c>
      <c r="C429" s="77"/>
      <c r="D429" s="78" t="s">
        <v>65</v>
      </c>
      <c r="E429" s="79" t="s">
        <v>193</v>
      </c>
      <c r="F429" s="79" t="s">
        <v>212</v>
      </c>
      <c r="G429" s="79" t="s">
        <v>213</v>
      </c>
      <c r="H429" s="80" t="s">
        <v>238</v>
      </c>
      <c r="I429" s="81"/>
      <c r="J429" s="84"/>
      <c r="K429" s="82">
        <f t="shared" si="48"/>
        <v>0</v>
      </c>
    </row>
    <row r="430" spans="1:11" s="83" customFormat="1" ht="9" customHeight="1" thickBot="1">
      <c r="A430" s="91"/>
      <c r="B430" s="76"/>
      <c r="C430" s="76"/>
      <c r="D430" s="86"/>
      <c r="E430" s="86"/>
      <c r="F430" s="86"/>
      <c r="G430" s="86"/>
      <c r="H430" s="86"/>
      <c r="I430" s="86"/>
      <c r="J430" s="86"/>
      <c r="K430" s="92"/>
    </row>
    <row r="431" spans="1:11" s="83" customFormat="1" ht="15.75" customHeight="1" thickBot="1">
      <c r="A431" s="93" t="s">
        <v>27</v>
      </c>
      <c r="B431" s="76"/>
      <c r="C431" s="94">
        <v>450</v>
      </c>
      <c r="D431" s="141" t="s">
        <v>26</v>
      </c>
      <c r="E431" s="142"/>
      <c r="F431" s="142"/>
      <c r="G431" s="142"/>
      <c r="H431" s="143"/>
      <c r="I431" s="95">
        <f>Лист1!I15-Лист2!I7</f>
        <v>-438566.0300000012</v>
      </c>
      <c r="J431" s="95">
        <f>Лист1!J15-Лист2!J7</f>
        <v>76990.37999999896</v>
      </c>
      <c r="K431" s="96">
        <f t="shared" si="48"/>
        <v>-515556.41000000015</v>
      </c>
    </row>
    <row r="432" s="83" customFormat="1" ht="12.75"/>
    <row r="433" spans="8:10" s="83" customFormat="1" ht="12.75" hidden="1">
      <c r="H433" s="83">
        <v>225</v>
      </c>
      <c r="I433" s="97" t="e">
        <f>I28+I64+I95+I116+I209+I240+#REF!+I304+I327+I372</f>
        <v>#REF!</v>
      </c>
      <c r="J433" s="97" t="e">
        <f>J28+J64+J95+J116+J209+J240+#REF!+J304+J327+J372</f>
        <v>#REF!</v>
      </c>
    </row>
    <row r="434" spans="8:10" s="83" customFormat="1" ht="12.75" hidden="1">
      <c r="H434" s="83">
        <v>226</v>
      </c>
      <c r="I434" s="97">
        <f>I15+I29+I46+I65+I83+I88+I117+I168+I253+I305+I328+I373+I390+I405</f>
        <v>8032462.91</v>
      </c>
      <c r="J434" s="97">
        <f>J15+J29+J46+J65+J83+J88+J117+J168+J253+J305+J328+J373+J390+J405</f>
        <v>1979629.2500000002</v>
      </c>
    </row>
    <row r="435" spans="8:10" s="83" customFormat="1" ht="12.75" hidden="1">
      <c r="H435" s="83">
        <v>290</v>
      </c>
      <c r="I435" s="97" t="e">
        <f>I30+I47+I54+I66+I128+#REF!+I306+I345+I374+I391+I406</f>
        <v>#REF!</v>
      </c>
      <c r="J435" s="97" t="e">
        <f>J30+J47+J54+J66+J128+#REF!+J306+J345+J374+J391+J406</f>
        <v>#REF!</v>
      </c>
    </row>
    <row r="436" s="83" customFormat="1" ht="12.75" hidden="1"/>
    <row r="437" spans="7:10" s="83" customFormat="1" ht="12.75" hidden="1">
      <c r="G437" s="83" t="s">
        <v>399</v>
      </c>
      <c r="I437" s="97">
        <f>I76+I84+I91+I170+I175+I220+I225+I236+I249+I254+I338+I346+I378+I386+I293+I361+I395+I205+I333</f>
        <v>28893134.75</v>
      </c>
      <c r="J437" s="97">
        <f>J76+J84+J91+J170+J175+J220+J225+J236+J249+J254+J338+J346+J378+J386+J293+J361+J395+J205+J333</f>
        <v>5892219.779999999</v>
      </c>
    </row>
    <row r="438" s="83" customFormat="1" ht="12.75"/>
    <row r="439" s="83" customFormat="1" ht="12.75"/>
    <row r="440" s="83" customFormat="1" ht="12.75"/>
    <row r="441" s="83" customFormat="1" ht="12.75"/>
  </sheetData>
  <sheetProtection/>
  <mergeCells count="6">
    <mergeCell ref="D7:H7"/>
    <mergeCell ref="D431:H431"/>
    <mergeCell ref="D3:H3"/>
    <mergeCell ref="D4:H4"/>
    <mergeCell ref="D5:H5"/>
    <mergeCell ref="D6:H6"/>
  </mergeCells>
  <printOptions/>
  <pageMargins left="0.57" right="0.1968503937007874" top="0.16" bottom="0.17" header="0.16" footer="0.17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showGridLines="0" tabSelected="1" zoomScalePageLayoutView="0" workbookViewId="0" topLeftCell="A26">
      <selection activeCell="L39" sqref="L39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4" t="s">
        <v>42</v>
      </c>
    </row>
    <row r="2" spans="1:11" ht="15">
      <c r="A2" s="28" t="s">
        <v>41</v>
      </c>
      <c r="B2" s="28"/>
      <c r="D2" s="11"/>
      <c r="E2" s="11"/>
      <c r="F2" s="11"/>
      <c r="G2" s="11"/>
      <c r="H2" s="11"/>
      <c r="I2" s="10"/>
      <c r="K2" s="34"/>
    </row>
    <row r="3" spans="1:11" ht="11.25" customHeight="1">
      <c r="A3" s="27"/>
      <c r="B3" s="27"/>
      <c r="C3" s="31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12</v>
      </c>
      <c r="D4" s="144" t="s">
        <v>9</v>
      </c>
      <c r="E4" s="145"/>
      <c r="F4" s="145"/>
      <c r="G4" s="145"/>
      <c r="H4" s="146"/>
      <c r="I4" s="6" t="s">
        <v>46</v>
      </c>
      <c r="J4" s="40"/>
      <c r="K4" s="39" t="s">
        <v>32</v>
      </c>
    </row>
    <row r="5" spans="1:11" ht="10.5" customHeight="1">
      <c r="A5" s="8" t="s">
        <v>6</v>
      </c>
      <c r="B5" s="8"/>
      <c r="C5" s="8" t="s">
        <v>13</v>
      </c>
      <c r="D5" s="147" t="s">
        <v>10</v>
      </c>
      <c r="E5" s="148"/>
      <c r="F5" s="148"/>
      <c r="G5" s="148"/>
      <c r="H5" s="149"/>
      <c r="I5" s="6" t="s">
        <v>47</v>
      </c>
      <c r="J5" s="6" t="s">
        <v>36</v>
      </c>
      <c r="K5" s="17" t="s">
        <v>4</v>
      </c>
    </row>
    <row r="6" spans="1:11" ht="10.5" customHeight="1">
      <c r="A6" s="8"/>
      <c r="B6" s="8"/>
      <c r="C6" s="8" t="s">
        <v>14</v>
      </c>
      <c r="D6" s="147" t="s">
        <v>56</v>
      </c>
      <c r="E6" s="148"/>
      <c r="F6" s="148"/>
      <c r="G6" s="148"/>
      <c r="H6" s="149"/>
      <c r="I6" s="6" t="s">
        <v>4</v>
      </c>
      <c r="J6" s="6"/>
      <c r="K6" s="17"/>
    </row>
    <row r="7" spans="1:11" ht="10.5" customHeight="1">
      <c r="A7" s="8"/>
      <c r="B7" s="8"/>
      <c r="C7" s="8"/>
      <c r="D7" s="147" t="s">
        <v>57</v>
      </c>
      <c r="E7" s="148"/>
      <c r="F7" s="148"/>
      <c r="G7" s="148"/>
      <c r="H7" s="149"/>
      <c r="I7" s="6"/>
      <c r="J7" s="6"/>
      <c r="K7" s="17"/>
    </row>
    <row r="8" spans="1:11" ht="10.5" customHeight="1">
      <c r="A8" s="8"/>
      <c r="B8" s="8"/>
      <c r="C8" s="8"/>
      <c r="D8" s="150" t="s">
        <v>58</v>
      </c>
      <c r="E8" s="151"/>
      <c r="F8" s="151"/>
      <c r="G8" s="151"/>
      <c r="H8" s="152"/>
      <c r="I8" s="6"/>
      <c r="J8" s="6"/>
      <c r="K8" s="17"/>
    </row>
    <row r="9" spans="1:11" ht="9.75" customHeight="1" thickBot="1">
      <c r="A9" s="4">
        <v>1</v>
      </c>
      <c r="B9" s="43"/>
      <c r="C9" s="9">
        <v>2</v>
      </c>
      <c r="D9" s="159">
        <v>3</v>
      </c>
      <c r="E9" s="160"/>
      <c r="F9" s="160"/>
      <c r="G9" s="160"/>
      <c r="H9" s="161"/>
      <c r="I9" s="5" t="s">
        <v>2</v>
      </c>
      <c r="J9" s="5" t="s">
        <v>38</v>
      </c>
      <c r="K9" s="18" t="s">
        <v>39</v>
      </c>
    </row>
    <row r="10" spans="1:11" ht="31.5" customHeight="1">
      <c r="A10" s="47" t="s">
        <v>15</v>
      </c>
      <c r="B10" s="32"/>
      <c r="C10" s="48" t="s">
        <v>19</v>
      </c>
      <c r="D10" s="156" t="s">
        <v>45</v>
      </c>
      <c r="E10" s="157"/>
      <c r="F10" s="157"/>
      <c r="G10" s="157"/>
      <c r="H10" s="158"/>
      <c r="I10" s="44">
        <f>I12+I20+I22</f>
        <v>438566.0299999863</v>
      </c>
      <c r="J10" s="44">
        <v>-76990.38</v>
      </c>
      <c r="K10" s="44">
        <f>K12+K20+K22</f>
        <v>515556.40999998525</v>
      </c>
    </row>
    <row r="11" spans="1:11" ht="18" customHeight="1">
      <c r="A11" s="47" t="s">
        <v>22</v>
      </c>
      <c r="B11" s="32"/>
      <c r="C11" s="48"/>
      <c r="D11" s="156"/>
      <c r="E11" s="157"/>
      <c r="F11" s="157"/>
      <c r="G11" s="157"/>
      <c r="H11" s="158"/>
      <c r="I11" s="44"/>
      <c r="J11" s="45"/>
      <c r="K11" s="46"/>
    </row>
    <row r="12" spans="1:11" ht="22.5">
      <c r="A12" s="47" t="s">
        <v>28</v>
      </c>
      <c r="B12" s="32"/>
      <c r="C12" s="48" t="s">
        <v>23</v>
      </c>
      <c r="D12" s="156" t="s">
        <v>45</v>
      </c>
      <c r="E12" s="157"/>
      <c r="F12" s="157"/>
      <c r="G12" s="157"/>
      <c r="H12" s="158"/>
      <c r="I12" s="44">
        <f>I13</f>
        <v>0</v>
      </c>
      <c r="J12" s="45">
        <f>J13</f>
        <v>0</v>
      </c>
      <c r="K12" s="46">
        <f>K13</f>
        <v>0</v>
      </c>
    </row>
    <row r="13" spans="1:11" ht="12.75">
      <c r="A13" s="49" t="s">
        <v>50</v>
      </c>
      <c r="B13" s="32">
        <v>3</v>
      </c>
      <c r="C13" s="48"/>
      <c r="D13" s="52"/>
      <c r="E13" s="53"/>
      <c r="F13" s="53"/>
      <c r="G13" s="53"/>
      <c r="H13" s="50"/>
      <c r="I13" s="44">
        <v>0</v>
      </c>
      <c r="J13" s="45">
        <v>0</v>
      </c>
      <c r="K13" s="46">
        <f>IF(ISNUMBER(I13),I13,0)-IF(ISNUMBER(J13),J13,0)</f>
        <v>0</v>
      </c>
    </row>
    <row r="14" spans="1:11" ht="33.75">
      <c r="A14" s="49" t="s">
        <v>306</v>
      </c>
      <c r="B14" s="32">
        <v>3</v>
      </c>
      <c r="C14" s="48"/>
      <c r="D14" s="52" t="s">
        <v>65</v>
      </c>
      <c r="E14" s="53" t="s">
        <v>302</v>
      </c>
      <c r="F14" s="53" t="s">
        <v>117</v>
      </c>
      <c r="G14" s="53" t="s">
        <v>121</v>
      </c>
      <c r="H14" s="50" t="s">
        <v>63</v>
      </c>
      <c r="I14" s="44">
        <v>0</v>
      </c>
      <c r="J14" s="45">
        <v>0</v>
      </c>
      <c r="K14" s="46">
        <f aca="true" t="shared" si="0" ref="K14:K19">IF(ISNUMBER(I14),I14,0)-IF(ISNUMBER(J14),J14,0)</f>
        <v>0</v>
      </c>
    </row>
    <row r="15" spans="1:11" ht="33.75">
      <c r="A15" s="49" t="s">
        <v>306</v>
      </c>
      <c r="B15" s="32">
        <v>3</v>
      </c>
      <c r="C15" s="48"/>
      <c r="D15" s="52" t="s">
        <v>65</v>
      </c>
      <c r="E15" s="53" t="s">
        <v>302</v>
      </c>
      <c r="F15" s="53" t="s">
        <v>117</v>
      </c>
      <c r="G15" s="53" t="s">
        <v>121</v>
      </c>
      <c r="H15" s="50" t="s">
        <v>304</v>
      </c>
      <c r="I15" s="44">
        <v>0</v>
      </c>
      <c r="J15" s="45">
        <v>0</v>
      </c>
      <c r="K15" s="46">
        <f t="shared" si="0"/>
        <v>0</v>
      </c>
    </row>
    <row r="16" spans="1:11" ht="33.75">
      <c r="A16" s="49" t="s">
        <v>306</v>
      </c>
      <c r="B16" s="32">
        <v>3</v>
      </c>
      <c r="C16" s="48"/>
      <c r="D16" s="52" t="s">
        <v>65</v>
      </c>
      <c r="E16" s="53" t="s">
        <v>302</v>
      </c>
      <c r="F16" s="53" t="s">
        <v>119</v>
      </c>
      <c r="G16" s="53" t="s">
        <v>121</v>
      </c>
      <c r="H16" s="50" t="s">
        <v>305</v>
      </c>
      <c r="I16" s="44">
        <v>0</v>
      </c>
      <c r="J16" s="45">
        <v>0</v>
      </c>
      <c r="K16" s="46">
        <f t="shared" si="0"/>
        <v>0</v>
      </c>
    </row>
    <row r="17" spans="1:11" ht="67.5">
      <c r="A17" s="49" t="s">
        <v>307</v>
      </c>
      <c r="B17" s="32">
        <v>3</v>
      </c>
      <c r="C17" s="48"/>
      <c r="D17" s="52" t="s">
        <v>65</v>
      </c>
      <c r="E17" s="53" t="s">
        <v>303</v>
      </c>
      <c r="F17" s="53" t="s">
        <v>117</v>
      </c>
      <c r="G17" s="53" t="s">
        <v>121</v>
      </c>
      <c r="H17" s="50" t="s">
        <v>63</v>
      </c>
      <c r="I17" s="44">
        <v>0</v>
      </c>
      <c r="J17" s="45">
        <v>0</v>
      </c>
      <c r="K17" s="46">
        <f>IF(ISNUMBER(I17),I17,0)-IF(ISNUMBER(J17),J17,0)</f>
        <v>0</v>
      </c>
    </row>
    <row r="18" spans="1:11" ht="67.5">
      <c r="A18" s="49" t="s">
        <v>307</v>
      </c>
      <c r="B18" s="32">
        <v>3</v>
      </c>
      <c r="C18" s="48"/>
      <c r="D18" s="52" t="s">
        <v>65</v>
      </c>
      <c r="E18" s="53" t="s">
        <v>303</v>
      </c>
      <c r="F18" s="53" t="s">
        <v>117</v>
      </c>
      <c r="G18" s="53" t="s">
        <v>121</v>
      </c>
      <c r="H18" s="50" t="s">
        <v>304</v>
      </c>
      <c r="I18" s="44">
        <v>0</v>
      </c>
      <c r="J18" s="45">
        <v>0</v>
      </c>
      <c r="K18" s="46">
        <f t="shared" si="0"/>
        <v>0</v>
      </c>
    </row>
    <row r="19" spans="1:11" ht="67.5">
      <c r="A19" s="49" t="s">
        <v>307</v>
      </c>
      <c r="B19" s="32">
        <v>3</v>
      </c>
      <c r="C19" s="48"/>
      <c r="D19" s="52" t="s">
        <v>65</v>
      </c>
      <c r="E19" s="53" t="s">
        <v>303</v>
      </c>
      <c r="F19" s="53" t="s">
        <v>119</v>
      </c>
      <c r="G19" s="53" t="s">
        <v>121</v>
      </c>
      <c r="H19" s="50" t="s">
        <v>305</v>
      </c>
      <c r="I19" s="44">
        <v>0</v>
      </c>
      <c r="J19" s="45">
        <v>0</v>
      </c>
      <c r="K19" s="46">
        <f t="shared" si="0"/>
        <v>0</v>
      </c>
    </row>
    <row r="20" spans="1:11" ht="21" customHeight="1">
      <c r="A20" s="47" t="s">
        <v>29</v>
      </c>
      <c r="B20" s="32"/>
      <c r="C20" s="48" t="s">
        <v>24</v>
      </c>
      <c r="D20" s="124" t="s">
        <v>45</v>
      </c>
      <c r="E20" s="125"/>
      <c r="F20" s="125"/>
      <c r="G20" s="125"/>
      <c r="H20" s="126"/>
      <c r="I20" s="44"/>
      <c r="J20" s="45"/>
      <c r="K20" s="46"/>
    </row>
    <row r="21" spans="1:11" ht="12" customHeight="1">
      <c r="A21" s="47" t="s">
        <v>21</v>
      </c>
      <c r="B21" s="32"/>
      <c r="C21" s="51"/>
      <c r="D21" s="54"/>
      <c r="E21" s="55"/>
      <c r="F21" s="55"/>
      <c r="G21" s="55"/>
      <c r="H21" s="56"/>
      <c r="I21" s="44"/>
      <c r="J21" s="45"/>
      <c r="K21" s="46"/>
    </row>
    <row r="22" spans="1:11" ht="22.5">
      <c r="A22" s="47" t="s">
        <v>25</v>
      </c>
      <c r="B22" s="32">
        <v>4</v>
      </c>
      <c r="C22" s="48" t="s">
        <v>20</v>
      </c>
      <c r="D22" s="52"/>
      <c r="E22" s="53"/>
      <c r="F22" s="53"/>
      <c r="G22" s="53"/>
      <c r="H22" s="50"/>
      <c r="I22" s="44">
        <f>+I23</f>
        <v>438566.0299999863</v>
      </c>
      <c r="J22" s="45">
        <f>+J23</f>
        <v>-76990.37999999896</v>
      </c>
      <c r="K22" s="46">
        <f>IF(ISNUMBER(I22),I22,0)-IF(ISNUMBER(J22),J22,0)</f>
        <v>515556.40999998525</v>
      </c>
    </row>
    <row r="23" spans="1:11" ht="33.75">
      <c r="A23" s="47" t="s">
        <v>312</v>
      </c>
      <c r="B23" s="32">
        <v>4</v>
      </c>
      <c r="C23" s="48" t="s">
        <v>20</v>
      </c>
      <c r="D23" s="52" t="s">
        <v>65</v>
      </c>
      <c r="E23" s="53" t="s">
        <v>308</v>
      </c>
      <c r="F23" s="53" t="s">
        <v>117</v>
      </c>
      <c r="G23" s="53" t="s">
        <v>121</v>
      </c>
      <c r="H23" s="50" t="s">
        <v>63</v>
      </c>
      <c r="I23" s="44">
        <f>+I24+I27</f>
        <v>438566.0299999863</v>
      </c>
      <c r="J23" s="45">
        <f>+J24+J27</f>
        <v>-76990.37999999896</v>
      </c>
      <c r="K23" s="46">
        <f aca="true" t="shared" si="1" ref="K23:K29">IF(ISNUMBER(I23),I23,0)-IF(ISNUMBER(J23),J23,0)</f>
        <v>515556.40999998525</v>
      </c>
    </row>
    <row r="24" spans="1:11" ht="33.75">
      <c r="A24" s="47" t="s">
        <v>312</v>
      </c>
      <c r="B24" s="32">
        <v>4</v>
      </c>
      <c r="C24" s="48" t="s">
        <v>20</v>
      </c>
      <c r="D24" s="52" t="s">
        <v>65</v>
      </c>
      <c r="E24" s="53" t="s">
        <v>308</v>
      </c>
      <c r="F24" s="53" t="s">
        <v>117</v>
      </c>
      <c r="G24" s="53" t="s">
        <v>121</v>
      </c>
      <c r="H24" s="50" t="s">
        <v>310</v>
      </c>
      <c r="I24" s="44">
        <f>I25</f>
        <v>-67424372.43</v>
      </c>
      <c r="J24" s="45">
        <f>J25</f>
        <v>-25258909.81</v>
      </c>
      <c r="K24" s="46">
        <f t="shared" si="1"/>
        <v>-42165462.620000005</v>
      </c>
    </row>
    <row r="25" spans="1:11" ht="33.75">
      <c r="A25" s="47" t="s">
        <v>313</v>
      </c>
      <c r="B25" s="32">
        <v>4</v>
      </c>
      <c r="C25" s="48" t="s">
        <v>178</v>
      </c>
      <c r="D25" s="52" t="s">
        <v>65</v>
      </c>
      <c r="E25" s="53" t="s">
        <v>309</v>
      </c>
      <c r="F25" s="53" t="s">
        <v>117</v>
      </c>
      <c r="G25" s="53" t="s">
        <v>121</v>
      </c>
      <c r="H25" s="50" t="s">
        <v>310</v>
      </c>
      <c r="I25" s="44">
        <f>I26</f>
        <v>-67424372.43</v>
      </c>
      <c r="J25" s="45">
        <f>J26</f>
        <v>-25258909.81</v>
      </c>
      <c r="K25" s="46">
        <f t="shared" si="1"/>
        <v>-42165462.620000005</v>
      </c>
    </row>
    <row r="26" spans="1:11" ht="33.75">
      <c r="A26" s="47" t="s">
        <v>313</v>
      </c>
      <c r="B26" s="32">
        <v>4</v>
      </c>
      <c r="C26" s="48" t="s">
        <v>178</v>
      </c>
      <c r="D26" s="52" t="s">
        <v>65</v>
      </c>
      <c r="E26" s="53" t="s">
        <v>309</v>
      </c>
      <c r="F26" s="53" t="s">
        <v>119</v>
      </c>
      <c r="G26" s="53" t="s">
        <v>121</v>
      </c>
      <c r="H26" s="50" t="s">
        <v>310</v>
      </c>
      <c r="I26" s="44">
        <v>-67424372.43</v>
      </c>
      <c r="J26" s="45">
        <v>-25258909.81</v>
      </c>
      <c r="K26" s="46">
        <f t="shared" si="1"/>
        <v>-42165462.620000005</v>
      </c>
    </row>
    <row r="27" spans="1:11" ht="33.75">
      <c r="A27" s="47" t="s">
        <v>312</v>
      </c>
      <c r="B27" s="32">
        <v>4</v>
      </c>
      <c r="C27" s="48" t="s">
        <v>20</v>
      </c>
      <c r="D27" s="52" t="s">
        <v>65</v>
      </c>
      <c r="E27" s="53" t="s">
        <v>308</v>
      </c>
      <c r="F27" s="53" t="s">
        <v>117</v>
      </c>
      <c r="G27" s="53" t="s">
        <v>121</v>
      </c>
      <c r="H27" s="50" t="s">
        <v>311</v>
      </c>
      <c r="I27" s="44">
        <f>I28</f>
        <v>67862938.46</v>
      </c>
      <c r="J27" s="45">
        <v>25181919.43</v>
      </c>
      <c r="K27" s="46">
        <f t="shared" si="1"/>
        <v>42681019.029999994</v>
      </c>
    </row>
    <row r="28" spans="1:11" ht="33.75">
      <c r="A28" s="47" t="s">
        <v>313</v>
      </c>
      <c r="B28" s="32">
        <v>4</v>
      </c>
      <c r="C28" s="48" t="s">
        <v>178</v>
      </c>
      <c r="D28" s="52" t="s">
        <v>65</v>
      </c>
      <c r="E28" s="53" t="s">
        <v>309</v>
      </c>
      <c r="F28" s="53" t="s">
        <v>117</v>
      </c>
      <c r="G28" s="53" t="s">
        <v>121</v>
      </c>
      <c r="H28" s="50" t="s">
        <v>311</v>
      </c>
      <c r="I28" s="44">
        <f>I29</f>
        <v>67862938.46</v>
      </c>
      <c r="J28" s="45">
        <v>25181919.43</v>
      </c>
      <c r="K28" s="46">
        <f t="shared" si="1"/>
        <v>42681019.029999994</v>
      </c>
    </row>
    <row r="29" spans="1:11" ht="33.75">
      <c r="A29" s="47" t="s">
        <v>313</v>
      </c>
      <c r="B29" s="32">
        <v>4</v>
      </c>
      <c r="C29" s="48" t="s">
        <v>178</v>
      </c>
      <c r="D29" s="52" t="s">
        <v>65</v>
      </c>
      <c r="E29" s="53" t="s">
        <v>309</v>
      </c>
      <c r="F29" s="53" t="s">
        <v>119</v>
      </c>
      <c r="G29" s="53" t="s">
        <v>121</v>
      </c>
      <c r="H29" s="50" t="s">
        <v>311</v>
      </c>
      <c r="I29" s="44">
        <v>67862938.46</v>
      </c>
      <c r="J29" s="45">
        <v>25181919.43</v>
      </c>
      <c r="K29" s="46">
        <f t="shared" si="1"/>
        <v>42681019.029999994</v>
      </c>
    </row>
    <row r="30" spans="1:11" ht="22.5" hidden="1">
      <c r="A30" s="47" t="s">
        <v>61</v>
      </c>
      <c r="B30" s="32"/>
      <c r="C30" s="48" t="s">
        <v>59</v>
      </c>
      <c r="D30" s="52"/>
      <c r="E30" s="53"/>
      <c r="F30" s="53"/>
      <c r="G30" s="53"/>
      <c r="H30" s="50"/>
      <c r="I30" s="44"/>
      <c r="J30" s="45"/>
      <c r="K30" s="46">
        <f>IF(ISNUMBER(I30),I30,0)-IF(ISNUMBER(J30),J30,0)</f>
        <v>0</v>
      </c>
    </row>
    <row r="31" spans="1:11" ht="22.5" hidden="1">
      <c r="A31" s="47" t="s">
        <v>62</v>
      </c>
      <c r="B31" s="32"/>
      <c r="C31" s="48" t="s">
        <v>60</v>
      </c>
      <c r="D31" s="52"/>
      <c r="E31" s="53"/>
      <c r="F31" s="53"/>
      <c r="G31" s="53"/>
      <c r="H31" s="50"/>
      <c r="I31" s="44"/>
      <c r="J31" s="45"/>
      <c r="K31" s="46">
        <f>IF(ISNUMBER(I31),I31,0)-IF(ISNUMBER(J31),J31,0)</f>
        <v>0</v>
      </c>
    </row>
    <row r="32" spans="1:11" ht="12.75">
      <c r="A32" s="72"/>
      <c r="B32" s="32"/>
      <c r="C32" s="73"/>
      <c r="D32" s="73"/>
      <c r="E32" s="73"/>
      <c r="F32" s="73"/>
      <c r="G32" s="73"/>
      <c r="H32" s="73"/>
      <c r="I32" s="74"/>
      <c r="J32" s="74"/>
      <c r="K32" s="74"/>
    </row>
    <row r="33" spans="1:11" ht="12.75" customHeight="1">
      <c r="A33" s="22" t="s">
        <v>480</v>
      </c>
      <c r="B33" s="22"/>
      <c r="C33" s="36"/>
      <c r="D33" s="24"/>
      <c r="E33" s="24"/>
      <c r="F33" s="24"/>
      <c r="G33" s="24"/>
      <c r="H33" s="24"/>
      <c r="I33" s="24"/>
      <c r="J33" s="24"/>
      <c r="K33" s="24"/>
    </row>
    <row r="34" spans="1:11" ht="10.5" customHeight="1">
      <c r="A34" s="11" t="s">
        <v>481</v>
      </c>
      <c r="B34" s="11"/>
      <c r="C34" s="36"/>
      <c r="D34" s="24"/>
      <c r="E34" s="24"/>
      <c r="F34" s="24"/>
      <c r="G34" s="24"/>
      <c r="H34" s="24"/>
      <c r="I34" s="24"/>
      <c r="J34" s="24"/>
      <c r="K34" s="24"/>
    </row>
    <row r="35" spans="1:11" ht="24.75" customHeight="1">
      <c r="A35" s="11"/>
      <c r="B35" s="11"/>
      <c r="C35" s="36"/>
      <c r="D35" s="24"/>
      <c r="E35" s="24"/>
      <c r="F35" s="24"/>
      <c r="G35" s="24"/>
      <c r="H35" s="24"/>
      <c r="I35" s="24"/>
      <c r="J35" s="24"/>
      <c r="K35" s="24"/>
    </row>
    <row r="36" spans="1:11" ht="12.75" customHeight="1">
      <c r="A36" s="22" t="s">
        <v>430</v>
      </c>
      <c r="B36" s="22"/>
      <c r="C36" s="36"/>
      <c r="D36" s="24"/>
      <c r="E36" s="24"/>
      <c r="F36" s="24"/>
      <c r="G36" s="24"/>
      <c r="H36" s="24"/>
      <c r="I36" s="24"/>
      <c r="J36" s="24"/>
      <c r="K36" s="24"/>
    </row>
    <row r="37" spans="1:11" ht="10.5" customHeight="1">
      <c r="A37" s="11" t="s">
        <v>429</v>
      </c>
      <c r="B37" s="11"/>
      <c r="C37" s="36"/>
      <c r="D37" s="24"/>
      <c r="E37" s="24"/>
      <c r="F37" s="24"/>
      <c r="G37" s="24"/>
      <c r="H37" s="24"/>
      <c r="I37" s="24"/>
      <c r="J37" s="24"/>
      <c r="K37" s="24"/>
    </row>
    <row r="38" spans="3:11" ht="12.75" customHeight="1" hidden="1">
      <c r="C38" s="36"/>
      <c r="D38" s="24"/>
      <c r="E38" s="24"/>
      <c r="F38" s="24"/>
      <c r="G38" s="24"/>
      <c r="H38" s="24"/>
      <c r="I38" s="24"/>
      <c r="J38" s="24"/>
      <c r="K38" s="24"/>
    </row>
    <row r="39" spans="1:11" ht="24" customHeight="1">
      <c r="A39" s="11" t="s">
        <v>16</v>
      </c>
      <c r="B39" s="11"/>
      <c r="C39" s="36"/>
      <c r="D39" s="24"/>
      <c r="E39" s="24"/>
      <c r="F39" s="24"/>
      <c r="G39" s="24"/>
      <c r="H39" s="24"/>
      <c r="I39" s="24"/>
      <c r="J39" s="24"/>
      <c r="K39" s="24"/>
    </row>
    <row r="40" spans="1:11" ht="9.75" customHeight="1">
      <c r="A40" s="11" t="s">
        <v>17</v>
      </c>
      <c r="B40" s="11"/>
      <c r="C40" s="36"/>
      <c r="D40" s="24"/>
      <c r="E40" s="24"/>
      <c r="F40" s="24"/>
      <c r="G40" s="24"/>
      <c r="H40" s="24"/>
      <c r="I40" s="24"/>
      <c r="J40" s="24"/>
      <c r="K40" s="24"/>
    </row>
    <row r="41" spans="1:11" ht="12.75" customHeight="1" hidden="1">
      <c r="A41" s="11"/>
      <c r="B41" s="11"/>
      <c r="C41" s="36"/>
      <c r="D41" s="24"/>
      <c r="E41" s="24"/>
      <c r="F41" s="24"/>
      <c r="G41" s="24"/>
      <c r="H41" s="24"/>
      <c r="I41" s="24"/>
      <c r="J41" s="24"/>
      <c r="K41" s="24"/>
    </row>
    <row r="42" spans="1:11" ht="12.75" customHeight="1">
      <c r="A42" s="11" t="s">
        <v>30</v>
      </c>
      <c r="B42" s="11"/>
      <c r="C42" s="36"/>
      <c r="D42" s="24"/>
      <c r="E42" s="24"/>
      <c r="F42" s="24"/>
      <c r="G42" s="24"/>
      <c r="H42" s="24"/>
      <c r="I42" s="24"/>
      <c r="J42" s="24"/>
      <c r="K42" s="24"/>
    </row>
    <row r="43" spans="1:11" ht="12.75" customHeight="1">
      <c r="A43" s="32"/>
      <c r="B43" s="32"/>
      <c r="C43" s="36"/>
      <c r="D43" s="24"/>
      <c r="E43" s="24"/>
      <c r="F43" s="24"/>
      <c r="G43" s="24"/>
      <c r="H43" s="24"/>
      <c r="I43" s="24"/>
      <c r="J43" s="24"/>
      <c r="K43" s="24"/>
    </row>
    <row r="44" spans="1:11" ht="12.75" customHeight="1">
      <c r="A44" s="32"/>
      <c r="B44" s="32"/>
      <c r="C44" s="36"/>
      <c r="D44" s="24"/>
      <c r="E44" s="24"/>
      <c r="F44" s="24"/>
      <c r="G44" s="24"/>
      <c r="H44" s="24"/>
      <c r="I44" s="24"/>
      <c r="J44" s="24"/>
      <c r="K44" s="24"/>
    </row>
    <row r="45" spans="1:11" ht="12.75" customHeight="1">
      <c r="A45" s="32"/>
      <c r="B45" s="32"/>
      <c r="C45" s="36"/>
      <c r="D45" s="24"/>
      <c r="E45" s="24"/>
      <c r="F45" s="24"/>
      <c r="G45" s="24"/>
      <c r="H45" s="24"/>
      <c r="I45" s="24"/>
      <c r="J45" s="24"/>
      <c r="K45" s="24"/>
    </row>
    <row r="46" spans="1:11" ht="12.75" customHeight="1">
      <c r="A46" s="32"/>
      <c r="B46" s="32"/>
      <c r="C46" s="36"/>
      <c r="D46" s="24"/>
      <c r="E46" s="24"/>
      <c r="F46" s="24"/>
      <c r="G46" s="24"/>
      <c r="H46" s="24"/>
      <c r="I46" s="24"/>
      <c r="J46" s="24"/>
      <c r="K46" s="24"/>
    </row>
    <row r="47" spans="1:11" ht="22.5" customHeight="1">
      <c r="A47" s="32"/>
      <c r="B47" s="32"/>
      <c r="C47" s="36"/>
      <c r="D47" s="24"/>
      <c r="E47" s="24"/>
      <c r="F47" s="24"/>
      <c r="G47" s="24"/>
      <c r="H47" s="24"/>
      <c r="I47" s="24"/>
      <c r="J47" s="24"/>
      <c r="K47" s="24"/>
    </row>
    <row r="48" spans="1:9" ht="11.25" customHeight="1">
      <c r="A48" s="11"/>
      <c r="B48" s="11"/>
      <c r="C48" s="11"/>
      <c r="D48" s="22"/>
      <c r="E48" s="22"/>
      <c r="F48" s="22"/>
      <c r="G48" s="22"/>
      <c r="H48" s="22"/>
      <c r="I48" s="38"/>
    </row>
    <row r="49" spans="1:9" ht="11.25" customHeight="1">
      <c r="A49" s="11"/>
      <c r="B49" s="11"/>
      <c r="C49" s="11"/>
      <c r="D49" s="22"/>
      <c r="E49" s="22"/>
      <c r="F49" s="22"/>
      <c r="G49" s="22"/>
      <c r="H49" s="22"/>
      <c r="I49" s="38"/>
    </row>
    <row r="50" spans="1:9" ht="11.25" customHeight="1">
      <c r="A50" s="11"/>
      <c r="B50" s="11"/>
      <c r="C50" s="11"/>
      <c r="D50" s="22"/>
      <c r="E50" s="22"/>
      <c r="F50" s="22"/>
      <c r="G50" s="22"/>
      <c r="H50" s="22"/>
      <c r="I50" s="38"/>
    </row>
    <row r="51" spans="1:9" ht="11.25" customHeight="1">
      <c r="A51" s="11"/>
      <c r="B51" s="11"/>
      <c r="C51" s="11"/>
      <c r="D51" s="22"/>
      <c r="E51" s="22"/>
      <c r="F51" s="22"/>
      <c r="G51" s="22"/>
      <c r="H51" s="22"/>
      <c r="I51" s="38"/>
    </row>
    <row r="52" spans="1:9" ht="11.25" customHeight="1">
      <c r="A52" s="11"/>
      <c r="B52" s="11"/>
      <c r="C52" s="11"/>
      <c r="D52" s="22"/>
      <c r="E52" s="22"/>
      <c r="F52" s="22"/>
      <c r="G52" s="22"/>
      <c r="H52" s="22"/>
      <c r="I52" s="38"/>
    </row>
    <row r="53" spans="1:9" ht="11.25" customHeight="1">
      <c r="A53" s="11"/>
      <c r="B53" s="11"/>
      <c r="C53" s="11"/>
      <c r="D53" s="22"/>
      <c r="E53" s="22"/>
      <c r="F53" s="22"/>
      <c r="G53" s="22"/>
      <c r="H53" s="22"/>
      <c r="I53" s="38"/>
    </row>
    <row r="54" spans="1:9" ht="11.25" customHeight="1">
      <c r="A54" s="11"/>
      <c r="B54" s="11"/>
      <c r="C54" s="11"/>
      <c r="D54" s="22"/>
      <c r="E54" s="22"/>
      <c r="F54" s="22"/>
      <c r="G54" s="22"/>
      <c r="H54" s="22"/>
      <c r="I54" s="38"/>
    </row>
    <row r="55" spans="1:9" ht="11.25" customHeight="1">
      <c r="A55" s="11"/>
      <c r="B55" s="11"/>
      <c r="C55" s="11"/>
      <c r="D55" s="22"/>
      <c r="E55" s="22"/>
      <c r="F55" s="22"/>
      <c r="G55" s="22"/>
      <c r="H55" s="22"/>
      <c r="I55" s="38"/>
    </row>
    <row r="56" spans="1:9" ht="11.25" customHeight="1">
      <c r="A56" s="11"/>
      <c r="B56" s="11"/>
      <c r="C56" s="11"/>
      <c r="D56" s="22"/>
      <c r="E56" s="22"/>
      <c r="F56" s="22"/>
      <c r="G56" s="22"/>
      <c r="H56" s="22"/>
      <c r="I56" s="38"/>
    </row>
    <row r="57" spans="1:9" ht="11.25" customHeight="1">
      <c r="A57" s="11"/>
      <c r="B57" s="11"/>
      <c r="C57" s="11"/>
      <c r="D57" s="22"/>
      <c r="E57" s="22"/>
      <c r="F57" s="22"/>
      <c r="G57" s="22"/>
      <c r="H57" s="22"/>
      <c r="I57" s="38"/>
    </row>
    <row r="58" spans="1:9" ht="11.25" customHeight="1">
      <c r="A58" s="11"/>
      <c r="B58" s="11"/>
      <c r="C58" s="11"/>
      <c r="D58" s="22"/>
      <c r="E58" s="22"/>
      <c r="F58" s="22"/>
      <c r="G58" s="22"/>
      <c r="H58" s="22"/>
      <c r="I58" s="38"/>
    </row>
    <row r="59" spans="1:9" ht="11.25" customHeight="1">
      <c r="A59" s="11"/>
      <c r="B59" s="11"/>
      <c r="C59" s="11"/>
      <c r="D59" s="22"/>
      <c r="E59" s="22"/>
      <c r="F59" s="22"/>
      <c r="G59" s="22"/>
      <c r="H59" s="22"/>
      <c r="I59" s="38"/>
    </row>
    <row r="60" spans="1:9" ht="11.25" customHeight="1">
      <c r="A60" s="11"/>
      <c r="B60" s="11"/>
      <c r="C60" s="11"/>
      <c r="D60" s="22"/>
      <c r="E60" s="22"/>
      <c r="F60" s="22"/>
      <c r="G60" s="22"/>
      <c r="H60" s="22"/>
      <c r="I60" s="38"/>
    </row>
    <row r="61" spans="1:9" ht="11.25" customHeight="1">
      <c r="A61" s="11"/>
      <c r="B61" s="11"/>
      <c r="C61" s="11"/>
      <c r="D61" s="22"/>
      <c r="E61" s="22"/>
      <c r="F61" s="22"/>
      <c r="G61" s="22"/>
      <c r="H61" s="22"/>
      <c r="I61" s="38"/>
    </row>
    <row r="62" spans="1:9" ht="11.25" customHeight="1">
      <c r="A62" s="11"/>
      <c r="B62" s="11"/>
      <c r="C62" s="11"/>
      <c r="D62" s="22"/>
      <c r="E62" s="22"/>
      <c r="F62" s="22"/>
      <c r="G62" s="22"/>
      <c r="H62" s="22"/>
      <c r="I62" s="38"/>
    </row>
    <row r="63" spans="1:9" ht="11.25" customHeight="1">
      <c r="A63" s="11"/>
      <c r="B63" s="11"/>
      <c r="C63" s="11"/>
      <c r="D63" s="22"/>
      <c r="E63" s="22"/>
      <c r="F63" s="22"/>
      <c r="G63" s="22"/>
      <c r="H63" s="22"/>
      <c r="I63" s="38"/>
    </row>
    <row r="64" spans="1:9" ht="11.25" customHeight="1">
      <c r="A64" s="11"/>
      <c r="B64" s="11"/>
      <c r="C64" s="11"/>
      <c r="D64" s="22"/>
      <c r="E64" s="22"/>
      <c r="F64" s="22"/>
      <c r="G64" s="22"/>
      <c r="H64" s="22"/>
      <c r="I64" s="38"/>
    </row>
    <row r="65" spans="1:9" ht="11.25" customHeight="1">
      <c r="A65" s="11"/>
      <c r="B65" s="11"/>
      <c r="C65" s="11"/>
      <c r="D65" s="22"/>
      <c r="E65" s="22"/>
      <c r="F65" s="22"/>
      <c r="G65" s="22"/>
      <c r="H65" s="22"/>
      <c r="I65" s="38"/>
    </row>
    <row r="66" spans="1:9" ht="11.25" customHeight="1">
      <c r="A66" s="11"/>
      <c r="B66" s="11"/>
      <c r="C66" s="11"/>
      <c r="D66" s="22"/>
      <c r="E66" s="22"/>
      <c r="F66" s="22"/>
      <c r="G66" s="22"/>
      <c r="H66" s="22"/>
      <c r="I66" s="38"/>
    </row>
    <row r="67" spans="1:9" ht="11.25" customHeight="1">
      <c r="A67" s="11"/>
      <c r="B67" s="11"/>
      <c r="C67" s="11"/>
      <c r="D67" s="22"/>
      <c r="E67" s="22"/>
      <c r="F67" s="22"/>
      <c r="G67" s="22"/>
      <c r="H67" s="22"/>
      <c r="I67" s="38"/>
    </row>
    <row r="68" spans="1:2" ht="23.25" customHeight="1">
      <c r="A68" s="11"/>
      <c r="B68" s="11"/>
    </row>
    <row r="69" ht="9.75" customHeight="1"/>
    <row r="70" spans="1:8" ht="12.75" customHeight="1">
      <c r="A70" s="22"/>
      <c r="B70" s="22"/>
      <c r="C70" s="22"/>
      <c r="D70" s="3"/>
      <c r="E70" s="3"/>
      <c r="F70" s="3"/>
      <c r="G70" s="3"/>
      <c r="H70" s="3"/>
    </row>
  </sheetData>
  <sheetProtection/>
  <mergeCells count="10">
    <mergeCell ref="D20:H20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2013-03-18T11:44:40Z</cp:lastPrinted>
  <dcterms:created xsi:type="dcterms:W3CDTF">1999-06-18T11:49:53Z</dcterms:created>
  <dcterms:modified xsi:type="dcterms:W3CDTF">2013-04-08T08:13:18Z</dcterms:modified>
  <cp:category/>
  <cp:version/>
  <cp:contentType/>
  <cp:contentStatus/>
</cp:coreProperties>
</file>